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TOMO VI Entidades Paraestatales\"/>
    </mc:Choice>
  </mc:AlternateContent>
  <xr:revisionPtr revIDLastSave="0" documentId="13_ncr:1_{D55CB289-9903-4C8F-B77F-02AAE2A59FA1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H32" i="1"/>
  <c r="E33" i="1" l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D34" i="1" l="1"/>
  <c r="E34" i="1" l="1"/>
  <c r="I42" i="1"/>
  <c r="H37" i="1"/>
  <c r="H49" i="1"/>
  <c r="I37" i="1"/>
  <c r="I49" i="1"/>
  <c r="I21" i="1"/>
  <c r="H42" i="1"/>
  <c r="H21" i="1"/>
  <c r="I53" i="1" l="1"/>
  <c r="H53" i="1"/>
  <c r="H34" i="1"/>
  <c r="I34" i="1"/>
  <c r="I55" i="1" l="1"/>
  <c r="H55" i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<sst xmlns="http://schemas.openxmlformats.org/spreadsheetml/2006/main" count="95" uniqueCount="63">
  <si>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</si>
  <si>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</si>
  <si>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</si>
  <si>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AL  31  DE  DICIEMBRE  DEL  AÑO  2021  Y  2020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</si>
  <si>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</si>
  <si>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</si>
  <si>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</si>
  <si>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</si>
  <si>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</si>
  <si>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</si>
  <si>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</si>
  <si>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</si>
  <si>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</si>
  <si>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</si>
  <si>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</si>
  <si>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</si>
  <si>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</si>
  <si>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</si>
  <si>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</si>
  <si>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</si>
  <si>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</si>
  <si>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</si>
  <si>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</si>
  <si>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</si>
  <si>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</si>
  <si>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</si>
  <si>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</si>
  <si>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</si>
  <si>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</si>
  <si>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</si>
  <si>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</si>
  <si>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</si>
  <si>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</si>
  <si>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</si>
  <si>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</si>
  <si>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</si>
  <si>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</si>
  <si>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</si>
  <si>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</si>
  <si>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</si>
  <si>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</si>
  <si>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</si>
  <si>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</si>
  <si>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</si>
  <si>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</si>
  <si>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</si>
  <si>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</si>
  <si>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</si>
  <si>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</si>
  <si>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</si>
  <si>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</si>
  <si>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</si>
  <si>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</si>
  <si>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</si>
  <si>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</si>
  <si>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</si>
  <si>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</si>
  <si>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</si>
  <si>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</si>
  <si>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</si>
  <si>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</si>
  <si>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ESTADO  DE  SITUACION  FINANCIERA CONSOLIDADA ENTIDADES PARAESTATALES</t>
  </si>
  <si>
    <t>P A S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</si>
</sst>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5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quotePrefix="1" applyNumberFormat="1" applyFont="1" applyAlignment="1"/>
    <xf numFmtId="0" fontId="1" fillId="0" borderId="0" xfId="0" quotePrefix="1" applyFont="1" applyAlignme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0" fillId="0" borderId="0" xfId="0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30" fillId="26" borderId="17" xfId="0" applyFont="1" applyFill="1" applyBorder="1" applyAlignment="1">
      <alignment horizontal="centerContinuous" vertical="center"/>
    </xf>
    <xf numFmtId="167" fontId="32" fillId="26" borderId="18" xfId="0" applyNumberFormat="1" applyFont="1" applyFill="1" applyBorder="1" applyAlignment="1">
      <alignment horizontal="centerContinuous" vertical="center"/>
    </xf>
    <xf numFmtId="167" fontId="32" fillId="26" borderId="19" xfId="0" applyNumberFormat="1" applyFont="1" applyFill="1" applyBorder="1" applyAlignment="1">
      <alignment horizontal="centerContinuous" vertical="center"/>
    </xf>
    <xf numFmtId="0" fontId="34" fillId="0" borderId="0" xfId="0" applyFont="1" applyAlignment="1">
      <alignment horizontal="centerContinuous"/>
    </xf>
    <xf numFmtId="0" fontId="2" fillId="27" borderId="0" xfId="0" applyFont="1" applyFill="1" applyAlignment="1">
      <alignment horizontal="centerContinuous" vertical="center"/>
    </xf>
    <xf numFmtId="0" fontId="33" fillId="27" borderId="0" xfId="0" applyFont="1" applyFill="1" applyAlignment="1">
      <alignment horizontal="centerContinuous" vertical="center"/>
    </xf>
    <xf numFmtId="0" fontId="2" fillId="27" borderId="0" xfId="0" applyFont="1" applyFill="1" applyAlignment="1">
      <alignment horizontal="centerContinuous"/>
    </xf>
    <xf numFmtId="0" fontId="33" fillId="27" borderId="0" xfId="0" applyFont="1" applyFill="1" applyAlignment="1">
      <alignment horizontal="centerContinuous"/>
    </xf>
    <xf numFmtId="0" fontId="30" fillId="28" borderId="1" xfId="0" applyFont="1" applyFill="1" applyBorder="1" applyAlignment="1">
      <alignment horizontal="left" indent="1"/>
    </xf>
    <xf numFmtId="0" fontId="31" fillId="28" borderId="20" xfId="0" applyFont="1" applyFill="1" applyBorder="1"/>
    <xf numFmtId="0" fontId="33" fillId="28" borderId="21" xfId="0" applyFont="1" applyFill="1" applyBorder="1"/>
    <xf numFmtId="0" fontId="31" fillId="28" borderId="1" xfId="0" applyFont="1" applyFill="1" applyBorder="1" applyAlignment="1">
      <alignment horizontal="left" indent="1"/>
    </xf>
    <xf numFmtId="0" fontId="31" fillId="28" borderId="1" xfId="0" applyFont="1" applyFill="1" applyBorder="1" applyAlignment="1">
      <alignment horizontal="left" vertical="center" wrapText="1" indent="1"/>
    </xf>
    <xf numFmtId="0" fontId="31" fillId="28" borderId="1" xfId="0" applyFont="1" applyFill="1" applyBorder="1" applyAlignment="1">
      <alignment horizontal="left" vertical="center" indent="1"/>
    </xf>
    <xf numFmtId="0" fontId="31" fillId="28" borderId="1" xfId="0" applyFont="1" applyFill="1" applyBorder="1" applyAlignment="1">
      <alignment horizontal="left" wrapText="1" indent="1"/>
    </xf>
    <xf numFmtId="0" fontId="31" fillId="28" borderId="2" xfId="0" applyFont="1" applyFill="1" applyBorder="1"/>
    <xf numFmtId="0" fontId="33" fillId="28" borderId="26" xfId="0" applyFont="1" applyFill="1" applyBorder="1"/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7" borderId="0" xfId="0" applyFont="1" applyFill="1" applyAlignment="1">
      <alignment horizontal="centerContinuous" vertical="center" wrapText="1"/>
    </xf>
    <xf numFmtId="0" fontId="33" fillId="27" borderId="0" xfId="0" applyFont="1" applyFill="1" applyAlignment="1">
      <alignment horizontal="centerContinuous" wrapText="1"/>
    </xf>
    <xf numFmtId="0" fontId="31" fillId="26" borderId="16" xfId="0" applyFont="1" applyFill="1" applyBorder="1" applyAlignment="1">
      <alignment horizontal="centerContinuous" vertical="center" wrapText="1"/>
    </xf>
    <xf numFmtId="167" fontId="32" fillId="26" borderId="18" xfId="0" applyNumberFormat="1" applyFont="1" applyFill="1" applyBorder="1" applyAlignment="1">
      <alignment horizontal="centerContinuous" vertical="center" wrapText="1"/>
    </xf>
    <xf numFmtId="0" fontId="31" fillId="28" borderId="20" xfId="0" applyFont="1" applyFill="1" applyBorder="1" applyAlignment="1">
      <alignment wrapText="1"/>
    </xf>
    <xf numFmtId="0" fontId="33" fillId="28" borderId="20" xfId="0" applyFont="1" applyFill="1" applyBorder="1" applyAlignment="1">
      <alignment wrapText="1"/>
    </xf>
    <xf numFmtId="170" fontId="31" fillId="28" borderId="0" xfId="58" applyNumberFormat="1" applyFont="1" applyFill="1" applyBorder="1" applyAlignment="1">
      <alignment wrapText="1"/>
    </xf>
    <xf numFmtId="170" fontId="32" fillId="28" borderId="20" xfId="58" applyNumberFormat="1" applyFont="1" applyFill="1" applyBorder="1" applyAlignment="1">
      <alignment wrapText="1"/>
    </xf>
    <xf numFmtId="170" fontId="33" fillId="28" borderId="20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right" wrapText="1"/>
    </xf>
    <xf numFmtId="0" fontId="33" fillId="28" borderId="0" xfId="0" applyFont="1" applyFill="1" applyBorder="1" applyAlignment="1">
      <alignment wrapText="1"/>
    </xf>
    <xf numFmtId="0" fontId="31" fillId="28" borderId="0" xfId="0" applyFont="1" applyFill="1" applyBorder="1" applyAlignment="1">
      <alignment wrapText="1"/>
    </xf>
    <xf numFmtId="0" fontId="30" fillId="28" borderId="15" xfId="0" applyFont="1" applyFill="1" applyBorder="1" applyAlignment="1">
      <alignment horizontal="right" wrapText="1"/>
    </xf>
    <xf numFmtId="0" fontId="33" fillId="28" borderId="15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0" fontId="33" fillId="28" borderId="0" xfId="58" applyNumberFormat="1" applyFont="1" applyFill="1" applyBorder="1" applyAlignment="1">
      <alignment wrapText="1"/>
    </xf>
    <xf numFmtId="170" fontId="33" fillId="28" borderId="0" xfId="58" applyNumberFormat="1" applyFont="1" applyFill="1" applyBorder="1" applyAlignment="1">
      <alignment horizontal="left" vertical="center" wrapText="1"/>
    </xf>
    <xf numFmtId="170" fontId="32" fillId="28" borderId="0" xfId="58" applyNumberFormat="1" applyFont="1" applyFill="1" applyBorder="1" applyAlignment="1">
      <alignment wrapText="1"/>
    </xf>
    <xf numFmtId="168" fontId="32" fillId="28" borderId="20" xfId="58" applyNumberFormat="1" applyFont="1" applyFill="1" applyBorder="1" applyAlignment="1">
      <alignment wrapText="1"/>
    </xf>
    <xf numFmtId="169" fontId="33" fillId="28" borderId="20" xfId="58" applyNumberFormat="1" applyFont="1" applyFill="1" applyBorder="1"/>
    <xf numFmtId="169" fontId="33" fillId="28" borderId="21" xfId="58" applyNumberFormat="1" applyFont="1" applyFill="1" applyBorder="1"/>
    <xf numFmtId="168" fontId="33" fillId="28" borderId="20" xfId="58" applyNumberFormat="1" applyFont="1" applyFill="1" applyBorder="1" applyAlignment="1">
      <alignment wrapText="1"/>
    </xf>
    <xf numFmtId="0" fontId="32" fillId="28" borderId="20" xfId="0" applyFont="1" applyFill="1" applyBorder="1" applyAlignment="1">
      <alignment wrapText="1"/>
    </xf>
    <xf numFmtId="169" fontId="32" fillId="28" borderId="20" xfId="58" applyNumberFormat="1" applyFont="1" applyFill="1" applyBorder="1"/>
    <xf numFmtId="169" fontId="32" fillId="28" borderId="21" xfId="58" applyNumberFormat="1" applyFont="1" applyFill="1" applyBorder="1"/>
    <xf numFmtId="0" fontId="32" fillId="28" borderId="20" xfId="0" applyFont="1" applyFill="1" applyBorder="1" applyAlignment="1">
      <alignment horizontal="left" wrapText="1"/>
    </xf>
    <xf numFmtId="0" fontId="33" fillId="28" borderId="20" xfId="0" applyFont="1" applyFill="1" applyBorder="1"/>
    <xf numFmtId="170" fontId="33" fillId="28" borderId="21" xfId="58" applyNumberFormat="1" applyFont="1" applyFill="1" applyBorder="1"/>
    <xf numFmtId="0" fontId="32" fillId="28" borderId="20" xfId="0" applyFont="1" applyFill="1" applyBorder="1"/>
    <xf numFmtId="0" fontId="32" fillId="28" borderId="21" xfId="0" applyFont="1" applyFill="1" applyBorder="1"/>
    <xf numFmtId="172" fontId="32" fillId="28" borderId="20" xfId="58" applyNumberFormat="1" applyFont="1" applyFill="1" applyBorder="1" applyAlignment="1">
      <alignment horizontal="left" wrapText="1"/>
    </xf>
    <xf numFmtId="172" fontId="32" fillId="28" borderId="23" xfId="58" applyNumberFormat="1" applyFont="1" applyFill="1" applyBorder="1" applyAlignment="1">
      <alignment wrapText="1"/>
    </xf>
    <xf numFmtId="172" fontId="32" fillId="28" borderId="20" xfId="58" applyNumberFormat="1" applyFont="1" applyFill="1" applyBorder="1"/>
    <xf numFmtId="3" fontId="32" fillId="28" borderId="21" xfId="58" applyNumberFormat="1" applyFont="1" applyFill="1" applyBorder="1"/>
    <xf numFmtId="0" fontId="32" fillId="28" borderId="20" xfId="0" applyFont="1" applyFill="1" applyBorder="1" applyAlignment="1">
      <alignment horizontal="right" wrapText="1"/>
    </xf>
    <xf numFmtId="0" fontId="33" fillId="28" borderId="22" xfId="0" applyFont="1" applyFill="1" applyBorder="1" applyAlignment="1">
      <alignment wrapText="1"/>
    </xf>
    <xf numFmtId="172" fontId="32" fillId="28" borderId="23" xfId="58" applyNumberFormat="1" applyFont="1" applyFill="1" applyBorder="1"/>
    <xf numFmtId="172" fontId="32" fillId="28" borderId="24" xfId="58" applyNumberFormat="1" applyFont="1" applyFill="1" applyBorder="1"/>
    <xf numFmtId="0" fontId="32" fillId="28" borderId="25" xfId="0" applyFont="1" applyFill="1" applyBorder="1" applyAlignment="1">
      <alignment horizontal="right" wrapText="1"/>
    </xf>
    <xf numFmtId="0" fontId="32" fillId="28" borderId="25" xfId="0" applyFont="1" applyFill="1" applyBorder="1" applyAlignment="1">
      <alignment horizontal="right"/>
    </xf>
    <xf numFmtId="0" fontId="32" fillId="28" borderId="22" xfId="0" applyFont="1" applyFill="1" applyBorder="1" applyAlignment="1">
      <alignment wrapText="1"/>
    </xf>
    <xf numFmtId="167" fontId="32" fillId="26" borderId="19" xfId="0" applyNumberFormat="1" applyFont="1" applyFill="1" applyBorder="1" applyAlignment="1">
      <alignment horizontal="centerContinuous" vertical="center" wrapText="1"/>
    </xf>
    <xf numFmtId="0" fontId="33" fillId="28" borderId="21" xfId="0" applyFont="1" applyFill="1" applyBorder="1" applyAlignment="1">
      <alignment wrapText="1"/>
    </xf>
    <xf numFmtId="0" fontId="32" fillId="28" borderId="0" xfId="0" applyFont="1" applyFill="1" applyBorder="1" applyAlignment="1">
      <alignment wrapText="1"/>
    </xf>
    <xf numFmtId="168" fontId="32" fillId="28" borderId="21" xfId="58" applyNumberFormat="1" applyFont="1" applyFill="1" applyBorder="1" applyAlignment="1">
      <alignment wrapText="1"/>
    </xf>
    <xf numFmtId="168" fontId="33" fillId="28" borderId="21" xfId="58" applyNumberFormat="1" applyFont="1" applyFill="1" applyBorder="1" applyAlignment="1">
      <alignment wrapText="1"/>
    </xf>
    <xf numFmtId="3" fontId="33" fillId="28" borderId="21" xfId="58" applyNumberFormat="1" applyFont="1" applyFill="1" applyBorder="1" applyAlignment="1">
      <alignment wrapText="1"/>
    </xf>
    <xf numFmtId="0" fontId="32" fillId="28" borderId="21" xfId="0" applyFont="1" applyFill="1" applyBorder="1" applyAlignment="1">
      <alignment wrapText="1"/>
    </xf>
    <xf numFmtId="170" fontId="32" fillId="28" borderId="21" xfId="58" applyNumberFormat="1" applyFont="1" applyFill="1" applyBorder="1" applyAlignment="1">
      <alignment wrapText="1"/>
    </xf>
    <xf numFmtId="0" fontId="32" fillId="28" borderId="21" xfId="0" applyFont="1" applyFill="1" applyBorder="1" applyAlignment="1">
      <alignment horizontal="left" wrapText="1"/>
    </xf>
    <xf numFmtId="0" fontId="32" fillId="28" borderId="0" xfId="0" applyFont="1" applyFill="1" applyBorder="1" applyAlignment="1">
      <alignment horizontal="left" wrapText="1"/>
    </xf>
    <xf numFmtId="172" fontId="32" fillId="28" borderId="24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left" wrapText="1"/>
    </xf>
    <xf numFmtId="170" fontId="33" fillId="28" borderId="21" xfId="58" applyNumberFormat="1" applyFont="1" applyFill="1" applyBorder="1" applyAlignment="1">
      <alignment wrapText="1"/>
    </xf>
    <xf numFmtId="170" fontId="33" fillId="28" borderId="27" xfId="58" applyNumberFormat="1" applyFont="1" applyFill="1" applyBorder="1" applyAlignment="1">
      <alignment wrapText="1"/>
    </xf>
    <xf numFmtId="0" fontId="33" fillId="28" borderId="26" xfId="0" applyFont="1" applyFill="1" applyBorder="1" applyAlignment="1">
      <alignment wrapText="1"/>
    </xf>
    <xf numFmtId="168" fontId="32" fillId="28" borderId="0" xfId="58" applyNumberFormat="1" applyFont="1" applyFill="1" applyBorder="1" applyAlignment="1">
      <alignment wrapText="1"/>
    </xf>
    <xf numFmtId="168" fontId="33" fillId="28" borderId="0" xfId="58" applyNumberFormat="1" applyFont="1" applyFill="1" applyBorder="1" applyAlignment="1">
      <alignment wrapText="1"/>
    </xf>
    <xf numFmtId="3" fontId="33" fillId="28" borderId="0" xfId="58" applyNumberFormat="1" applyFont="1" applyFill="1" applyBorder="1" applyAlignment="1">
      <alignment wrapText="1"/>
    </xf>
    <xf numFmtId="169" fontId="33" fillId="28" borderId="0" xfId="58" applyNumberFormat="1" applyFont="1" applyFill="1" applyBorder="1" applyAlignment="1">
      <alignment wrapText="1"/>
    </xf>
    <xf numFmtId="172" fontId="32" fillId="28" borderId="0" xfId="58" applyNumberFormat="1" applyFont="1" applyFill="1" applyBorder="1" applyAlignment="1">
      <alignment wrapText="1"/>
    </xf>
    <xf numFmtId="172" fontId="33" fillId="28" borderId="20" xfId="58" applyNumberFormat="1" applyFont="1" applyFill="1" applyBorder="1"/>
    <xf numFmtId="172" fontId="33" fillId="28" borderId="21" xfId="58" applyNumberFormat="1" applyFont="1" applyFill="1" applyBorder="1"/>
    <xf numFmtId="0" fontId="30" fillId="28" borderId="0" xfId="0" applyFont="1" applyFill="1" applyBorder="1" applyAlignment="1">
      <alignment wrapText="1"/>
    </xf>
    <xf numFmtId="0" fontId="33" fillId="28" borderId="0" xfId="0" applyFont="1" applyFill="1" applyBorder="1" applyAlignment="1">
      <alignment horizontal="left" wrapText="1"/>
    </xf>
    <xf numFmtId="171" fontId="32" fillId="28" borderId="0" xfId="0" applyNumberFormat="1" applyFont="1" applyFill="1" applyBorder="1" applyAlignment="1">
      <alignment wrapText="1"/>
    </xf>
    <xf numFmtId="171" fontId="33" fillId="28" borderId="0" xfId="0" applyNumberFormat="1" applyFont="1" applyFill="1" applyBorder="1" applyAlignment="1">
      <alignment wrapText="1"/>
    </xf>
    <xf numFmtId="172" fontId="0" fillId="0" borderId="0" xfId="0" applyNumberFormat="1"/>
    <xf numFmtId="0" fontId="31" fillId="28" borderId="28" xfId="0" applyFont="1" applyFill="1" applyBorder="1" applyAlignment="1">
      <alignment horizontal="left" indent="1"/>
    </xf>
    <xf numFmtId="0" fontId="31" fillId="28" borderId="29" xfId="0" applyFont="1" applyFill="1" applyBorder="1" applyAlignment="1">
      <alignment wrapText="1"/>
    </xf>
    <xf numFmtId="0" fontId="31" fillId="28" borderId="30" xfId="0" applyFont="1" applyFill="1" applyBorder="1" applyAlignment="1">
      <alignment wrapText="1"/>
    </xf>
    <xf numFmtId="0" fontId="33" fillId="28" borderId="31" xfId="0" applyFont="1" applyFill="1" applyBorder="1" applyAlignment="1">
      <alignment wrapText="1"/>
    </xf>
    <xf numFmtId="172" fontId="32" fillId="28" borderId="21" xfId="58" applyNumberFormat="1" applyFont="1" applyFill="1" applyBorder="1" applyAlignment="1">
      <alignment horizontal="left" wrapText="1"/>
    </xf>
    <xf numFmtId="0" fontId="32" fillId="28" borderId="11" xfId="0" applyFont="1" applyFill="1" applyBorder="1"/>
    <xf numFmtId="0" fontId="32" fillId="28" borderId="32" xfId="0" applyFont="1" applyFill="1" applyBorder="1"/>
    <xf numFmtId="0" fontId="33" fillId="28" borderId="29" xfId="0" applyFont="1" applyFill="1" applyBorder="1" applyAlignment="1">
      <alignment wrapText="1"/>
    </xf>
    <xf numFmtId="0" fontId="31" fillId="28" borderId="30" xfId="0" applyFont="1" applyFill="1" applyBorder="1"/>
    <xf numFmtId="0" fontId="33" fillId="28" borderId="31" xfId="0" applyFont="1" applyFill="1" applyBorder="1"/>
    <xf numFmtId="0" fontId="33" fillId="27" borderId="0" xfId="0" applyFont="1" applyFill="1" applyAlignment="1">
      <alignment horizontal="center"/>
    </xf>
    <xf numFmtId="167" fontId="32" fillId="26" borderId="17" xfId="0" applyNumberFormat="1" applyFont="1" applyFill="1" applyBorder="1" applyAlignment="1">
      <alignment horizontal="center" vertical="center" wrapText="1"/>
    </xf>
    <xf numFmtId="167" fontId="32" fillId="26" borderId="3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11566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226219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1"/>
  <sheetViews>
    <sheetView showGridLines="0" tabSelected="1" zoomScaleNormal="100" workbookViewId="0">
      <selection activeCell="C3" sqref="B3:I57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51" customWidth="1"/>
    <col min="4" max="4" width="13.85546875" style="51" bestFit="1" customWidth="1"/>
    <col min="5" max="5" width="12.85546875" style="52" bestFit="1" customWidth="1"/>
    <col min="6" max="6" width="3.140625" style="52" customWidth="1"/>
    <col min="7" max="7" width="32.42578125" style="51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  <col min="14" max="14" width="17.28515625" customWidth="1"/>
  </cols>
  <sheetData>
    <row r="1" spans="2:14" s="3" customFormat="1" x14ac:dyDescent="0.2">
      <c r="B1" s="1"/>
      <c r="C1" s="32"/>
      <c r="D1" s="32"/>
      <c r="E1" s="33"/>
      <c r="F1" s="33"/>
      <c r="G1" s="34"/>
      <c r="H1" s="4"/>
      <c r="L1" s="5"/>
      <c r="M1" s="2"/>
      <c r="N1" s="2"/>
    </row>
    <row r="2" spans="2:14" s="3" customFormat="1" x14ac:dyDescent="0.2">
      <c r="B2" s="1"/>
      <c r="C2" s="32"/>
      <c r="D2" s="32"/>
      <c r="E2" s="35"/>
      <c r="F2" s="35"/>
      <c r="G2" s="34"/>
      <c r="H2" s="4"/>
      <c r="L2" s="5"/>
      <c r="M2" s="2"/>
      <c r="N2" s="2"/>
    </row>
    <row r="3" spans="2:14" ht="15.75" x14ac:dyDescent="0.25">
      <c r="B3" s="18" t="s">
        <v>1</v>
      </c>
      <c r="C3" s="36"/>
      <c r="D3" s="36"/>
      <c r="E3" s="36"/>
      <c r="F3" s="36"/>
      <c r="G3" s="36"/>
      <c r="H3" s="18"/>
      <c r="I3" s="18"/>
    </row>
    <row r="4" spans="2:14" x14ac:dyDescent="0.2">
      <c r="B4" s="19" t="s">
        <v>61</v>
      </c>
      <c r="C4" s="37"/>
      <c r="D4" s="37"/>
      <c r="E4" s="37"/>
      <c r="F4" s="37"/>
      <c r="G4" s="37"/>
      <c r="H4" s="20"/>
      <c r="I4" s="20"/>
    </row>
    <row r="5" spans="2:14" x14ac:dyDescent="0.2">
      <c r="B5" s="19" t="s">
        <v>3</v>
      </c>
      <c r="C5" s="37"/>
      <c r="D5" s="37"/>
      <c r="E5" s="37"/>
      <c r="F5" s="37"/>
      <c r="G5" s="37"/>
      <c r="H5" s="20"/>
      <c r="I5" s="20"/>
    </row>
    <row r="6" spans="2:14" x14ac:dyDescent="0.2">
      <c r="B6" s="21"/>
      <c r="C6" s="38"/>
      <c r="D6" s="38"/>
      <c r="E6" s="38"/>
      <c r="F6" s="38"/>
      <c r="G6" s="38"/>
      <c r="H6" s="22"/>
      <c r="I6" s="22"/>
    </row>
    <row r="7" spans="2:14" ht="13.5" thickBot="1" x14ac:dyDescent="0.25">
      <c r="B7" s="116" t="s">
        <v>2</v>
      </c>
      <c r="C7" s="116"/>
      <c r="D7" s="116"/>
      <c r="E7" s="116"/>
      <c r="F7" s="116"/>
      <c r="G7" s="116"/>
      <c r="H7" s="116"/>
      <c r="I7" s="116"/>
    </row>
    <row r="8" spans="2:14" ht="13.5" thickBot="1" x14ac:dyDescent="0.25">
      <c r="B8" s="15" t="s">
        <v>0</v>
      </c>
      <c r="C8" s="39"/>
      <c r="D8" s="40">
        <v>2021</v>
      </c>
      <c r="E8" s="79">
        <v>2020</v>
      </c>
      <c r="F8" s="117" t="s">
        <v>62</v>
      </c>
      <c r="G8" s="118"/>
      <c r="H8" s="16">
        <v>2021</v>
      </c>
      <c r="I8" s="17">
        <v>2020</v>
      </c>
    </row>
    <row r="9" spans="2:14" x14ac:dyDescent="0.2">
      <c r="B9" s="106"/>
      <c r="C9" s="107"/>
      <c r="D9" s="108"/>
      <c r="E9" s="109"/>
      <c r="F9" s="113"/>
      <c r="G9" s="107"/>
      <c r="H9" s="114"/>
      <c r="I9" s="115"/>
    </row>
    <row r="10" spans="2:14" s="6" customFormat="1" x14ac:dyDescent="0.2">
      <c r="B10" s="23"/>
      <c r="C10" s="48"/>
      <c r="D10" s="41"/>
      <c r="E10" s="80"/>
      <c r="F10" s="47"/>
      <c r="G10" s="101"/>
      <c r="H10" s="24"/>
      <c r="I10" s="25"/>
    </row>
    <row r="11" spans="2:14" s="6" customFormat="1" x14ac:dyDescent="0.2">
      <c r="B11" s="26"/>
      <c r="C11" s="81" t="s">
        <v>4</v>
      </c>
      <c r="D11" s="56"/>
      <c r="E11" s="82"/>
      <c r="F11" s="94"/>
      <c r="G11" s="81" t="s">
        <v>25</v>
      </c>
      <c r="H11" s="57"/>
      <c r="I11" s="58"/>
    </row>
    <row r="12" spans="2:14" x14ac:dyDescent="0.2">
      <c r="B12" s="26"/>
      <c r="C12" s="47" t="s">
        <v>5</v>
      </c>
      <c r="D12" s="59">
        <v>3388058952.5499997</v>
      </c>
      <c r="E12" s="83">
        <v>2744620814.0299997</v>
      </c>
      <c r="F12" s="95"/>
      <c r="G12" s="47" t="s">
        <v>26</v>
      </c>
      <c r="H12" s="57">
        <v>3642403189.2499995</v>
      </c>
      <c r="I12" s="58">
        <v>3585008673.2800002</v>
      </c>
      <c r="M12" s="6"/>
    </row>
    <row r="13" spans="2:14" ht="22.5" x14ac:dyDescent="0.2">
      <c r="B13" s="26"/>
      <c r="C13" s="47" t="s">
        <v>6</v>
      </c>
      <c r="D13" s="59">
        <v>6273928938.5100002</v>
      </c>
      <c r="E13" s="83">
        <v>5809506131.9499998</v>
      </c>
      <c r="F13" s="95"/>
      <c r="G13" s="47" t="s">
        <v>27</v>
      </c>
      <c r="H13" s="57">
        <v>3914471</v>
      </c>
      <c r="I13" s="58">
        <v>3875014</v>
      </c>
      <c r="M13" s="6"/>
    </row>
    <row r="14" spans="2:14" ht="22.5" x14ac:dyDescent="0.2">
      <c r="B14" s="26"/>
      <c r="C14" s="53" t="s">
        <v>7</v>
      </c>
      <c r="D14" s="59">
        <v>143098600.79999998</v>
      </c>
      <c r="E14" s="83">
        <v>296686814.24999994</v>
      </c>
      <c r="F14" s="95"/>
      <c r="G14" s="47" t="s">
        <v>28</v>
      </c>
      <c r="H14" s="57">
        <v>0</v>
      </c>
      <c r="I14" s="58">
        <v>0</v>
      </c>
      <c r="M14" s="6"/>
    </row>
    <row r="15" spans="2:14" x14ac:dyDescent="0.2">
      <c r="B15" s="26"/>
      <c r="C15" s="53" t="s">
        <v>8</v>
      </c>
      <c r="D15" s="59">
        <v>16589175.800000001</v>
      </c>
      <c r="E15" s="83">
        <v>5025881.79</v>
      </c>
      <c r="F15" s="95"/>
      <c r="G15" s="47" t="s">
        <v>29</v>
      </c>
      <c r="H15" s="57">
        <v>0</v>
      </c>
      <c r="I15" s="58">
        <v>0</v>
      </c>
      <c r="M15" s="6"/>
    </row>
    <row r="16" spans="2:14" x14ac:dyDescent="0.2">
      <c r="B16" s="27"/>
      <c r="C16" s="54" t="s">
        <v>9</v>
      </c>
      <c r="D16" s="59">
        <v>7016818.1399999997</v>
      </c>
      <c r="E16" s="83">
        <v>7029755.8099999996</v>
      </c>
      <c r="F16" s="95"/>
      <c r="G16" s="47" t="s">
        <v>30</v>
      </c>
      <c r="H16" s="57">
        <v>7547714</v>
      </c>
      <c r="I16" s="58">
        <v>7081101</v>
      </c>
      <c r="M16" s="6"/>
    </row>
    <row r="17" spans="2:13" ht="33.75" x14ac:dyDescent="0.2">
      <c r="B17" s="28"/>
      <c r="C17" s="54" t="s">
        <v>10</v>
      </c>
      <c r="D17" s="59">
        <v>-2278588992</v>
      </c>
      <c r="E17" s="83">
        <v>-2278762572</v>
      </c>
      <c r="F17" s="95"/>
      <c r="G17" s="47" t="s">
        <v>31</v>
      </c>
      <c r="H17" s="57">
        <v>914334205</v>
      </c>
      <c r="I17" s="58">
        <v>893702304</v>
      </c>
      <c r="M17" s="6"/>
    </row>
    <row r="18" spans="2:13" x14ac:dyDescent="0.2">
      <c r="B18" s="23"/>
      <c r="C18" s="53" t="s">
        <v>11</v>
      </c>
      <c r="D18" s="45">
        <v>882185634.40999997</v>
      </c>
      <c r="E18" s="84">
        <v>862494557.40999997</v>
      </c>
      <c r="F18" s="96"/>
      <c r="G18" s="47" t="s">
        <v>32</v>
      </c>
      <c r="H18" s="57">
        <v>77277196.980000004</v>
      </c>
      <c r="I18" s="58">
        <v>69848726.719999999</v>
      </c>
      <c r="M18" s="6"/>
    </row>
    <row r="19" spans="2:13" x14ac:dyDescent="0.2">
      <c r="B19" s="23"/>
      <c r="C19" s="53" t="s">
        <v>12</v>
      </c>
      <c r="D19" s="60"/>
      <c r="E19" s="85"/>
      <c r="F19" s="81"/>
      <c r="G19" s="47" t="s">
        <v>33</v>
      </c>
      <c r="H19" s="57">
        <v>309731662.76999998</v>
      </c>
      <c r="I19" s="58">
        <v>289327594.37</v>
      </c>
      <c r="M19" s="6"/>
    </row>
    <row r="20" spans="2:13" x14ac:dyDescent="0.2">
      <c r="B20" s="26"/>
      <c r="C20" s="55" t="s">
        <v>13</v>
      </c>
      <c r="D20" s="44">
        <f>SUM(D12:D19)</f>
        <v>8432289128.2099972</v>
      </c>
      <c r="E20" s="86">
        <f>SUM(E12:E19)</f>
        <v>7446601383.2399998</v>
      </c>
      <c r="F20" s="55"/>
      <c r="G20" s="102" t="s">
        <v>12</v>
      </c>
      <c r="H20" s="61"/>
      <c r="I20" s="62"/>
      <c r="M20" s="6"/>
    </row>
    <row r="21" spans="2:13" x14ac:dyDescent="0.2">
      <c r="B21" s="26"/>
      <c r="C21" s="81" t="s">
        <v>12</v>
      </c>
      <c r="D21" s="60"/>
      <c r="E21" s="85"/>
      <c r="F21" s="81"/>
      <c r="G21" s="88" t="s">
        <v>34</v>
      </c>
      <c r="H21" s="61">
        <f>+SUM(H12:H19)</f>
        <v>4955208439</v>
      </c>
      <c r="I21" s="62">
        <f>+SUM(I12:I19)</f>
        <v>4848843413.3700008</v>
      </c>
      <c r="M21" s="6"/>
    </row>
    <row r="22" spans="2:13" x14ac:dyDescent="0.2">
      <c r="B22" s="23"/>
      <c r="C22" s="81" t="s">
        <v>14</v>
      </c>
      <c r="D22" s="60"/>
      <c r="E22" s="87"/>
      <c r="F22" s="88"/>
      <c r="G22" s="81" t="s">
        <v>12</v>
      </c>
      <c r="H22" s="64"/>
      <c r="I22" s="65"/>
      <c r="M22" s="6"/>
    </row>
    <row r="23" spans="2:13" s="6" customFormat="1" ht="22.5" x14ac:dyDescent="0.2">
      <c r="B23" s="29"/>
      <c r="C23" s="47" t="s">
        <v>15</v>
      </c>
      <c r="D23" s="59">
        <v>2991981110.1999998</v>
      </c>
      <c r="E23" s="83">
        <v>2782415859.5799999</v>
      </c>
      <c r="F23" s="95"/>
      <c r="G23" s="81" t="s">
        <v>35</v>
      </c>
      <c r="H23" s="57"/>
      <c r="I23" s="58"/>
    </row>
    <row r="24" spans="2:13" ht="22.5" x14ac:dyDescent="0.2">
      <c r="B24" s="29"/>
      <c r="C24" s="47" t="s">
        <v>16</v>
      </c>
      <c r="D24" s="59">
        <v>9004389638.1000004</v>
      </c>
      <c r="E24" s="83">
        <v>7358157740.5800009</v>
      </c>
      <c r="F24" s="95"/>
      <c r="G24" s="47" t="s">
        <v>36</v>
      </c>
      <c r="H24" s="57">
        <v>29105383.57</v>
      </c>
      <c r="I24" s="58">
        <v>29662813.760000002</v>
      </c>
      <c r="M24" s="6"/>
    </row>
    <row r="25" spans="2:13" ht="22.5" x14ac:dyDescent="0.2">
      <c r="B25" s="29"/>
      <c r="C25" s="47" t="s">
        <v>17</v>
      </c>
      <c r="D25" s="59">
        <v>9523482848.2600002</v>
      </c>
      <c r="E25" s="83">
        <v>10614539456.120001</v>
      </c>
      <c r="F25" s="95"/>
      <c r="G25" s="102" t="s">
        <v>37</v>
      </c>
      <c r="H25" s="57">
        <v>50861645.57</v>
      </c>
      <c r="I25" s="58">
        <v>85540840.459999993</v>
      </c>
      <c r="M25" s="6"/>
    </row>
    <row r="26" spans="2:13" x14ac:dyDescent="0.2">
      <c r="B26" s="26"/>
      <c r="C26" s="47" t="s">
        <v>18</v>
      </c>
      <c r="D26" s="59">
        <v>4403647271.8699999</v>
      </c>
      <c r="E26" s="83">
        <v>4358273630.9499998</v>
      </c>
      <c r="F26" s="95"/>
      <c r="G26" s="102" t="s">
        <v>38</v>
      </c>
      <c r="H26" s="57">
        <v>0</v>
      </c>
      <c r="I26" s="58">
        <v>0</v>
      </c>
      <c r="M26" s="6"/>
    </row>
    <row r="27" spans="2:13" x14ac:dyDescent="0.2">
      <c r="B27" s="28"/>
      <c r="C27" s="47" t="s">
        <v>19</v>
      </c>
      <c r="D27" s="59">
        <v>30113412.490000002</v>
      </c>
      <c r="E27" s="83">
        <v>27202730</v>
      </c>
      <c r="F27" s="95"/>
      <c r="G27" s="102" t="s">
        <v>39</v>
      </c>
      <c r="H27" s="57">
        <v>14601139</v>
      </c>
      <c r="I27" s="58">
        <v>14601139</v>
      </c>
      <c r="M27" s="6"/>
    </row>
    <row r="28" spans="2:13" ht="33.75" x14ac:dyDescent="0.2">
      <c r="B28" s="29"/>
      <c r="C28" s="47" t="s">
        <v>20</v>
      </c>
      <c r="D28" s="59">
        <v>-474002032.14000005</v>
      </c>
      <c r="E28" s="83">
        <v>-425534148.72999996</v>
      </c>
      <c r="F28" s="97"/>
      <c r="G28" s="102" t="s">
        <v>40</v>
      </c>
      <c r="H28" s="57">
        <v>858115700.76999998</v>
      </c>
      <c r="I28" s="58">
        <v>764538270.50999999</v>
      </c>
      <c r="M28" s="6"/>
    </row>
    <row r="29" spans="2:13" x14ac:dyDescent="0.2">
      <c r="B29" s="26"/>
      <c r="C29" s="47" t="s">
        <v>21</v>
      </c>
      <c r="D29" s="59">
        <v>67309591.709999993</v>
      </c>
      <c r="E29" s="83">
        <v>57019533.480000004</v>
      </c>
      <c r="F29" s="95"/>
      <c r="G29" s="102" t="s">
        <v>41</v>
      </c>
      <c r="H29" s="57">
        <v>7722702445.7699995</v>
      </c>
      <c r="I29" s="58">
        <v>7438366216.3799992</v>
      </c>
      <c r="M29" s="6"/>
    </row>
    <row r="30" spans="2:13" ht="22.5" x14ac:dyDescent="0.2">
      <c r="B30" s="29"/>
      <c r="C30" s="47" t="s">
        <v>22</v>
      </c>
      <c r="D30" s="59">
        <v>-26875897</v>
      </c>
      <c r="E30" s="83">
        <v>-23734199</v>
      </c>
      <c r="F30" s="95"/>
      <c r="G30" s="102" t="s">
        <v>12</v>
      </c>
      <c r="H30" s="60"/>
      <c r="I30" s="65"/>
      <c r="M30" s="6"/>
    </row>
    <row r="31" spans="2:13" x14ac:dyDescent="0.2">
      <c r="B31" s="29"/>
      <c r="C31" s="47" t="s">
        <v>23</v>
      </c>
      <c r="D31" s="59">
        <v>514928</v>
      </c>
      <c r="E31" s="83">
        <v>46525162</v>
      </c>
      <c r="F31" s="95"/>
      <c r="G31" s="102" t="s">
        <v>12</v>
      </c>
      <c r="H31" s="61"/>
      <c r="I31" s="62"/>
      <c r="M31" s="6"/>
    </row>
    <row r="32" spans="2:13" ht="12.75" customHeight="1" x14ac:dyDescent="0.2">
      <c r="B32" s="23"/>
      <c r="C32" s="47" t="s">
        <v>12</v>
      </c>
      <c r="D32" s="60"/>
      <c r="E32" s="85"/>
      <c r="F32" s="81"/>
      <c r="G32" s="78" t="s">
        <v>42</v>
      </c>
      <c r="H32" s="61">
        <f>SUM(H24:H31)</f>
        <v>8675386314.6800003</v>
      </c>
      <c r="I32" s="62">
        <f>SUM(I24:I31)</f>
        <v>8332709280.1099987</v>
      </c>
      <c r="M32" s="6"/>
    </row>
    <row r="33" spans="2:13" x14ac:dyDescent="0.2">
      <c r="B33" s="23"/>
      <c r="C33" s="88" t="s">
        <v>24</v>
      </c>
      <c r="D33" s="68">
        <f>SUM(D23:D32)</f>
        <v>25520560871.489998</v>
      </c>
      <c r="E33" s="110">
        <f>SUM(E23:E32)</f>
        <v>24794865764.98</v>
      </c>
      <c r="F33" s="55"/>
      <c r="G33" s="78" t="s">
        <v>12</v>
      </c>
      <c r="H33" s="66"/>
      <c r="I33" s="67"/>
      <c r="M33" s="6"/>
    </row>
    <row r="34" spans="2:13" ht="24" customHeight="1" thickBot="1" x14ac:dyDescent="0.25">
      <c r="B34" s="23"/>
      <c r="C34" s="88" t="s">
        <v>60</v>
      </c>
      <c r="D34" s="69">
        <f>+D20+D33</f>
        <v>33952849999.699997</v>
      </c>
      <c r="E34" s="89">
        <f>+E20+E33</f>
        <v>32241467148.220001</v>
      </c>
      <c r="F34" s="98"/>
      <c r="G34" s="103" t="s">
        <v>43</v>
      </c>
      <c r="H34" s="61">
        <f>+H32+H21</f>
        <v>13630594753.68</v>
      </c>
      <c r="I34" s="62">
        <f>+I32+I21</f>
        <v>13181552693.48</v>
      </c>
      <c r="M34" s="6"/>
    </row>
    <row r="35" spans="2:13" ht="13.5" thickTop="1" x14ac:dyDescent="0.2">
      <c r="B35" s="23"/>
      <c r="C35" s="88"/>
      <c r="D35" s="68"/>
      <c r="E35" s="86"/>
      <c r="F35" s="55"/>
      <c r="G35" s="47" t="s">
        <v>12</v>
      </c>
      <c r="H35" s="57"/>
      <c r="I35" s="58"/>
      <c r="M35" s="6"/>
    </row>
    <row r="36" spans="2:13" x14ac:dyDescent="0.2">
      <c r="B36" s="23"/>
      <c r="C36" s="90" t="s">
        <v>12</v>
      </c>
      <c r="D36" s="63"/>
      <c r="E36" s="91"/>
      <c r="F36" s="53"/>
      <c r="G36" s="103" t="s">
        <v>44</v>
      </c>
      <c r="H36" s="57"/>
      <c r="I36" s="58"/>
      <c r="M36" s="6"/>
    </row>
    <row r="37" spans="2:13" ht="22.5" x14ac:dyDescent="0.2">
      <c r="B37" s="23"/>
      <c r="C37" s="90" t="s">
        <v>12</v>
      </c>
      <c r="D37" s="63"/>
      <c r="E37" s="91"/>
      <c r="F37" s="53"/>
      <c r="G37" s="103" t="s">
        <v>45</v>
      </c>
      <c r="H37" s="70">
        <f>+SUM(H38:H40)</f>
        <v>7714536087.2999992</v>
      </c>
      <c r="I37" s="62">
        <f>+SUM(I38:I40)</f>
        <v>7571905034.1800003</v>
      </c>
      <c r="M37" s="6"/>
    </row>
    <row r="38" spans="2:13" x14ac:dyDescent="0.2">
      <c r="B38" s="23"/>
      <c r="C38" s="90" t="s">
        <v>12</v>
      </c>
      <c r="D38" s="63"/>
      <c r="E38" s="91"/>
      <c r="F38" s="53"/>
      <c r="G38" s="47" t="s">
        <v>46</v>
      </c>
      <c r="H38" s="57">
        <v>1611309402.9499998</v>
      </c>
      <c r="I38" s="58">
        <v>1481638223.9299998</v>
      </c>
      <c r="M38" s="6"/>
    </row>
    <row r="39" spans="2:13" x14ac:dyDescent="0.2">
      <c r="B39" s="23"/>
      <c r="C39" s="90" t="s">
        <v>12</v>
      </c>
      <c r="D39" s="63"/>
      <c r="E39" s="91"/>
      <c r="F39" s="53"/>
      <c r="G39" s="47" t="s">
        <v>47</v>
      </c>
      <c r="H39" s="57">
        <v>56204119.100000001</v>
      </c>
      <c r="I39" s="58">
        <v>53962450</v>
      </c>
      <c r="M39" s="6"/>
    </row>
    <row r="40" spans="2:13" ht="22.5" x14ac:dyDescent="0.2">
      <c r="B40" s="23"/>
      <c r="C40" s="90" t="s">
        <v>12</v>
      </c>
      <c r="D40" s="63"/>
      <c r="E40" s="91"/>
      <c r="F40" s="53"/>
      <c r="G40" s="47" t="s">
        <v>48</v>
      </c>
      <c r="H40" s="57">
        <v>6047022565.25</v>
      </c>
      <c r="I40" s="58">
        <v>6036304360.25</v>
      </c>
      <c r="M40" s="6"/>
    </row>
    <row r="41" spans="2:13" x14ac:dyDescent="0.2">
      <c r="B41" s="23"/>
      <c r="C41" s="90" t="s">
        <v>12</v>
      </c>
      <c r="D41" s="63"/>
      <c r="E41" s="91"/>
      <c r="F41" s="53"/>
      <c r="G41" s="103" t="s">
        <v>12</v>
      </c>
      <c r="H41" s="57"/>
      <c r="I41" s="58"/>
      <c r="M41" s="6"/>
    </row>
    <row r="42" spans="2:13" ht="22.5" x14ac:dyDescent="0.2">
      <c r="B42" s="23"/>
      <c r="C42" s="90" t="s">
        <v>12</v>
      </c>
      <c r="D42" s="63"/>
      <c r="E42" s="91"/>
      <c r="F42" s="53"/>
      <c r="G42" s="103" t="s">
        <v>49</v>
      </c>
      <c r="H42" s="70">
        <f>+SUM(H43:H47)</f>
        <v>12615264866.91</v>
      </c>
      <c r="I42" s="71">
        <f>+SUM(I43:I47)</f>
        <v>11495555128.929998</v>
      </c>
      <c r="M42" s="6"/>
    </row>
    <row r="43" spans="2:13" ht="22.5" x14ac:dyDescent="0.2">
      <c r="B43" s="23"/>
      <c r="C43" s="90" t="s">
        <v>12</v>
      </c>
      <c r="D43" s="63"/>
      <c r="E43" s="91"/>
      <c r="F43" s="53"/>
      <c r="G43" s="104" t="s">
        <v>50</v>
      </c>
      <c r="H43" s="57">
        <v>1486581658.9999998</v>
      </c>
      <c r="I43" s="58">
        <v>883630503.03999996</v>
      </c>
      <c r="M43" s="6"/>
    </row>
    <row r="44" spans="2:13" x14ac:dyDescent="0.2">
      <c r="B44" s="23"/>
      <c r="C44" s="90" t="s">
        <v>12</v>
      </c>
      <c r="D44" s="63"/>
      <c r="E44" s="91"/>
      <c r="F44" s="53"/>
      <c r="G44" s="104" t="s">
        <v>51</v>
      </c>
      <c r="H44" s="57">
        <v>10532746325</v>
      </c>
      <c r="I44" s="58">
        <v>9734334018.2999992</v>
      </c>
      <c r="M44" s="6"/>
    </row>
    <row r="45" spans="2:13" x14ac:dyDescent="0.2">
      <c r="B45" s="23"/>
      <c r="C45" s="90" t="s">
        <v>12</v>
      </c>
      <c r="D45" s="63"/>
      <c r="E45" s="91"/>
      <c r="F45" s="53"/>
      <c r="G45" s="47" t="s">
        <v>52</v>
      </c>
      <c r="H45" s="57">
        <v>556016734.96000004</v>
      </c>
      <c r="I45" s="58">
        <v>561145267.96000004</v>
      </c>
      <c r="M45" s="6"/>
    </row>
    <row r="46" spans="2:13" x14ac:dyDescent="0.2">
      <c r="B46" s="23"/>
      <c r="C46" s="90" t="s">
        <v>12</v>
      </c>
      <c r="D46" s="63"/>
      <c r="E46" s="91"/>
      <c r="F46" s="53"/>
      <c r="G46" s="47" t="s">
        <v>53</v>
      </c>
      <c r="H46" s="57">
        <v>34302143.109999999</v>
      </c>
      <c r="I46" s="58">
        <v>41381852</v>
      </c>
      <c r="M46" s="6"/>
    </row>
    <row r="47" spans="2:13" ht="22.5" x14ac:dyDescent="0.2">
      <c r="B47" s="23"/>
      <c r="C47" s="90" t="s">
        <v>12</v>
      </c>
      <c r="D47" s="63"/>
      <c r="E47" s="91"/>
      <c r="F47" s="53"/>
      <c r="G47" s="47" t="s">
        <v>54</v>
      </c>
      <c r="H47" s="99">
        <v>5618004.8400000334</v>
      </c>
      <c r="I47" s="100">
        <v>275063487.62999988</v>
      </c>
      <c r="M47" s="6"/>
    </row>
    <row r="48" spans="2:13" x14ac:dyDescent="0.2">
      <c r="B48" s="23"/>
      <c r="C48" s="90" t="s">
        <v>12</v>
      </c>
      <c r="D48" s="63"/>
      <c r="E48" s="92"/>
      <c r="F48" s="53"/>
      <c r="G48" s="103" t="s">
        <v>12</v>
      </c>
      <c r="H48" s="61"/>
      <c r="I48" s="62"/>
      <c r="M48" s="6"/>
    </row>
    <row r="49" spans="2:13" ht="33.75" x14ac:dyDescent="0.2">
      <c r="B49" s="23"/>
      <c r="C49" s="90" t="s">
        <v>12</v>
      </c>
      <c r="D49" s="63"/>
      <c r="E49" s="92"/>
      <c r="F49" s="53"/>
      <c r="G49" s="103" t="s">
        <v>55</v>
      </c>
      <c r="H49" s="111">
        <f>+H50+H51</f>
        <v>-7545708.1799999997</v>
      </c>
      <c r="I49" s="112">
        <f>+SUM(I50:I51)</f>
        <v>-7545708.1799999997</v>
      </c>
      <c r="M49" s="6"/>
    </row>
    <row r="50" spans="2:13" x14ac:dyDescent="0.2">
      <c r="B50" s="23"/>
      <c r="C50" s="46" t="s">
        <v>12</v>
      </c>
      <c r="D50" s="72"/>
      <c r="E50" s="80"/>
      <c r="F50" s="47"/>
      <c r="G50" s="73" t="s">
        <v>56</v>
      </c>
      <c r="H50" s="59">
        <v>-7545708.1799999997</v>
      </c>
      <c r="I50" s="83">
        <v>-7545708.1799999997</v>
      </c>
      <c r="M50" s="6"/>
    </row>
    <row r="51" spans="2:13" ht="22.5" x14ac:dyDescent="0.2">
      <c r="B51" s="26"/>
      <c r="C51" s="48" t="s">
        <v>12</v>
      </c>
      <c r="D51" s="42"/>
      <c r="E51" s="80"/>
      <c r="F51" s="47"/>
      <c r="G51" s="47" t="s">
        <v>57</v>
      </c>
      <c r="H51" s="64">
        <v>0</v>
      </c>
      <c r="I51" s="25">
        <v>0</v>
      </c>
      <c r="M51" s="6"/>
    </row>
    <row r="52" spans="2:13" x14ac:dyDescent="0.2">
      <c r="B52" s="23"/>
      <c r="C52" s="48" t="s">
        <v>12</v>
      </c>
      <c r="D52" s="42"/>
      <c r="E52" s="80"/>
      <c r="F52" s="47"/>
      <c r="G52" s="103" t="s">
        <v>12</v>
      </c>
      <c r="H52" s="64"/>
      <c r="I52" s="25"/>
      <c r="M52" s="6"/>
    </row>
    <row r="53" spans="2:13" ht="22.5" x14ac:dyDescent="0.2">
      <c r="B53" s="26"/>
      <c r="C53" s="48" t="s">
        <v>12</v>
      </c>
      <c r="D53" s="59"/>
      <c r="E53" s="83"/>
      <c r="F53" s="95"/>
      <c r="G53" s="103" t="s">
        <v>58</v>
      </c>
      <c r="H53" s="61">
        <f>+H37+H42+H49</f>
        <v>20322255246.029999</v>
      </c>
      <c r="I53" s="62">
        <f>+I37+I42+I49</f>
        <v>19059914454.93</v>
      </c>
      <c r="M53" s="6"/>
    </row>
    <row r="54" spans="2:13" x14ac:dyDescent="0.2">
      <c r="B54" s="26"/>
      <c r="C54" s="48" t="s">
        <v>12</v>
      </c>
      <c r="D54" s="59"/>
      <c r="E54" s="83"/>
      <c r="F54" s="95"/>
      <c r="G54" s="103" t="s">
        <v>12</v>
      </c>
      <c r="H54" s="57"/>
      <c r="I54" s="58"/>
      <c r="M54" s="6"/>
    </row>
    <row r="55" spans="2:13" ht="23.25" thickBot="1" x14ac:dyDescent="0.25">
      <c r="B55" s="26"/>
      <c r="C55" s="48" t="s">
        <v>12</v>
      </c>
      <c r="D55" s="59"/>
      <c r="E55" s="83"/>
      <c r="F55" s="95"/>
      <c r="G55" s="103" t="s">
        <v>59</v>
      </c>
      <c r="H55" s="74">
        <f>+H53+H34</f>
        <v>33952849999.709999</v>
      </c>
      <c r="I55" s="75">
        <f>+I53+I34</f>
        <v>32241467148.41</v>
      </c>
      <c r="L55" s="105"/>
      <c r="M55" s="105"/>
    </row>
    <row r="56" spans="2:13" ht="13.5" thickTop="1" x14ac:dyDescent="0.2">
      <c r="B56" s="26"/>
      <c r="C56" s="43"/>
      <c r="D56" s="59"/>
      <c r="E56" s="83"/>
      <c r="F56" s="95"/>
      <c r="G56" s="103"/>
      <c r="H56" s="57"/>
      <c r="I56" s="58"/>
    </row>
    <row r="57" spans="2:13" ht="13.5" thickBot="1" x14ac:dyDescent="0.25">
      <c r="B57" s="30"/>
      <c r="C57" s="49"/>
      <c r="D57" s="76"/>
      <c r="E57" s="93"/>
      <c r="F57" s="50"/>
      <c r="G57" s="50"/>
      <c r="H57" s="77"/>
      <c r="I57" s="31"/>
      <c r="M57" s="105"/>
    </row>
    <row r="59" spans="2:13" x14ac:dyDescent="0.2">
      <c r="H59" s="7"/>
      <c r="M59" s="105"/>
    </row>
    <row r="60" spans="2:13" ht="25.5" customHeight="1" x14ac:dyDescent="0.2">
      <c r="B60" s="119"/>
      <c r="C60" s="120"/>
      <c r="D60" s="120"/>
      <c r="E60" s="121"/>
      <c r="F60" s="121"/>
      <c r="G60" s="122"/>
      <c r="H60" s="122"/>
      <c r="I60" s="122"/>
      <c r="M60" s="7"/>
    </row>
    <row r="61" spans="2:13" x14ac:dyDescent="0.2">
      <c r="B61" s="119"/>
      <c r="C61" s="120"/>
      <c r="D61" s="120"/>
      <c r="E61" s="121"/>
      <c r="F61" s="121"/>
      <c r="G61" s="120"/>
      <c r="H61" s="123"/>
      <c r="I61" s="119"/>
    </row>
    <row r="62" spans="2:13" x14ac:dyDescent="0.2">
      <c r="B62" s="119"/>
      <c r="C62" s="120"/>
      <c r="D62" s="120"/>
      <c r="E62" s="121"/>
      <c r="F62" s="121"/>
      <c r="G62" s="120"/>
      <c r="H62" s="124"/>
      <c r="I62" s="119"/>
    </row>
    <row r="63" spans="2:13" x14ac:dyDescent="0.2">
      <c r="B63" s="119"/>
      <c r="C63" s="120"/>
      <c r="D63" s="120"/>
      <c r="E63" s="121"/>
      <c r="F63" s="121"/>
      <c r="G63" s="120"/>
      <c r="H63" s="119"/>
      <c r="I63" s="119"/>
    </row>
    <row r="64" spans="2:13" x14ac:dyDescent="0.2">
      <c r="B64" s="119"/>
      <c r="C64" s="120"/>
      <c r="D64" s="120"/>
      <c r="E64" s="121"/>
      <c r="F64" s="121"/>
      <c r="G64" s="120"/>
      <c r="H64" s="120"/>
      <c r="I64" s="119"/>
    </row>
    <row r="65" spans="2:9" ht="15.75" customHeight="1" x14ac:dyDescent="0.2">
      <c r="B65" s="119"/>
      <c r="C65" s="125"/>
      <c r="D65" s="125"/>
      <c r="E65" s="121"/>
      <c r="F65" s="121"/>
      <c r="G65" s="125"/>
      <c r="H65" s="125"/>
      <c r="I65" s="119"/>
    </row>
    <row r="66" spans="2:9" ht="15.75" customHeight="1" x14ac:dyDescent="0.2">
      <c r="B66" s="119"/>
      <c r="C66" s="125"/>
      <c r="D66" s="125"/>
      <c r="E66" s="121"/>
      <c r="F66" s="121"/>
      <c r="G66" s="126"/>
      <c r="H66" s="126"/>
      <c r="I66" s="119"/>
    </row>
    <row r="67" spans="2:9" x14ac:dyDescent="0.2">
      <c r="B67" s="119"/>
      <c r="C67" s="120"/>
      <c r="D67" s="120"/>
      <c r="E67" s="121"/>
      <c r="F67" s="121"/>
      <c r="G67" s="120"/>
      <c r="H67" s="119"/>
      <c r="I67" s="119"/>
    </row>
    <row r="68" spans="2:9" x14ac:dyDescent="0.2">
      <c r="B68" s="119"/>
      <c r="C68" s="120"/>
      <c r="D68" s="120"/>
      <c r="E68" s="121"/>
      <c r="F68" s="121"/>
      <c r="G68" s="120"/>
      <c r="H68" s="119"/>
      <c r="I68" s="119"/>
    </row>
    <row r="69" spans="2:9" ht="27.75" customHeight="1" x14ac:dyDescent="0.25">
      <c r="B69" s="127"/>
      <c r="C69" s="127"/>
      <c r="D69" s="127"/>
      <c r="E69" s="127"/>
      <c r="F69" s="127"/>
      <c r="G69" s="127"/>
      <c r="H69" s="127"/>
      <c r="I69" s="127"/>
    </row>
    <row r="70" spans="2:9" x14ac:dyDescent="0.2">
      <c r="B70" s="119"/>
      <c r="C70" s="120"/>
      <c r="D70" s="120"/>
      <c r="E70" s="121"/>
      <c r="F70" s="121"/>
      <c r="G70" s="120"/>
      <c r="H70" s="119"/>
      <c r="I70" s="119"/>
    </row>
    <row r="71" spans="2:9" x14ac:dyDescent="0.2">
      <c r="B71" s="119"/>
      <c r="C71" s="120"/>
      <c r="D71" s="120"/>
      <c r="E71" s="121"/>
      <c r="F71" s="121"/>
      <c r="G71" s="120"/>
      <c r="H71" s="119"/>
      <c r="I71" s="119"/>
    </row>
  </sheetData>
  <mergeCells count="8">
    <mergeCell ref="B69:I69"/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11"/>
      <c r="B1" s="12">
        <f>[1]!BexGetCellData("003N8D85VN5WHY95OZ9S05CNN","","DP_2")</f>
        <v>2021</v>
      </c>
      <c r="C1" s="12" t="str">
        <f>[1]!BexGetCellData("003N8D85VN5Y88OYUKVCK6RBE","","DP_2")</f>
        <v>'2020</v>
      </c>
    </row>
    <row r="2" spans="1:3" x14ac:dyDescent="0.2">
      <c r="A2" s="12" t="str">
        <f>[1]!BexGetCellData("","003N8D85VN5WHXYYGMBJV0SGC","DP_2")</f>
        <v>Activo</v>
      </c>
      <c r="B2" s="10" t="str">
        <f>[1]!BexGetCellData("003N8D85VN5WHY95OZ9S05CNN","003N8D85VN5WHXYYGMBJV0SGC","DP_2")</f>
        <v/>
      </c>
      <c r="C2" s="10" t="str">
        <f>[1]!BexGetCellData("003N8D85VN5Y88OYUKVCK6RBE","003N8D85VN5WHXYYGMBJV0SGC","DP_2")</f>
        <v/>
      </c>
    </row>
    <row r="3" spans="1:3" x14ac:dyDescent="0.2">
      <c r="A3" s="12" t="str">
        <f>[1]!BexGetCellData("","003N8D85VN5WHXYYHQTX0GZDH","DP_2")</f>
        <v xml:space="preserve">  Activo Circulante</v>
      </c>
      <c r="B3" s="10" t="str">
        <f>[1]!BexGetCellData("003N8D85VN5WHY95OZ9S05CNN","003N8D85VN5WHXYYHQTX0GZDH","DP_2")</f>
        <v/>
      </c>
      <c r="C3" s="10" t="str">
        <f>[1]!BexGetCellData("003N8D85VN5Y88OYUKVCK6RBE","003N8D85VN5WHXYYHQTX0GZDH","DP_2")</f>
        <v/>
      </c>
    </row>
    <row r="4" spans="1:3" x14ac:dyDescent="0.2">
      <c r="A4" s="12" t="str">
        <f>[1]!BexGetCellData("","003N8D85VN5WHXYYIHA312Z2T","DP_2")</f>
        <v xml:space="preserve">    Efectivo y Equivalentes</v>
      </c>
      <c r="B4" s="8">
        <f>[1]!BexGetCellData("003N8D85VN5WHY95OZ9S05CNN","003N8D85VN5WHXYYIHA312Z2T","DP_2")</f>
        <v>2227797176.3099999</v>
      </c>
      <c r="C4" s="8">
        <f>[1]!BexGetCellData("003N8D85VN5Y88OYUKVCK6RBE","003N8D85VN5WHXYYIHA312Z2T","DP_2")</f>
        <v>5459137506.6499996</v>
      </c>
    </row>
    <row r="5" spans="1:3" x14ac:dyDescent="0.2">
      <c r="A5" s="12" t="str">
        <f>[1]!BexGetCellData("","003N8D85VN5WHXYYJFH6AB0UT","DP_2")</f>
        <v xml:space="preserve">    Derechos a Recibir Efectivo o Equivalentes</v>
      </c>
      <c r="B5" s="8">
        <f>[1]!BexGetCellData("003N8D85VN5WHY95OZ9S05CNN","003N8D85VN5WHXYYJFH6AB0UT","DP_2")</f>
        <v>1450496828.01</v>
      </c>
      <c r="C5" s="8">
        <f>[1]!BexGetCellData("003N8D85VN5Y88OYUKVCK6RBE","003N8D85VN5WHXYYJFH6AB0UT","DP_2")</f>
        <v>3131463044.1700001</v>
      </c>
    </row>
    <row r="6" spans="1:3" x14ac:dyDescent="0.2">
      <c r="A6" s="12" t="str">
        <f>[1]!BexGetCellData("","003N8D85VN5WHXYYK9UP6GOPK","DP_2")</f>
        <v xml:space="preserve">    Derechos a Recibir Bienes o Servicios</v>
      </c>
      <c r="B6" s="8">
        <f>[1]!BexGetCellData("003N8D85VN5WHY95OZ9S05CNN","003N8D85VN5WHXYYK9UP6GOPK","DP_2")</f>
        <v>318860347.33999997</v>
      </c>
      <c r="C6" s="8">
        <f>[1]!BexGetCellData("003N8D85VN5Y88OYUKVCK6RBE","003N8D85VN5WHXYYK9UP6GOPK","DP_2")</f>
        <v>461647153.41000003</v>
      </c>
    </row>
    <row r="7" spans="1:3" x14ac:dyDescent="0.2">
      <c r="A7" s="12" t="str">
        <f>[1]!BexGetCellData("","003N8D85VN5WHXYYKUQD6W1SO","DP_2")</f>
        <v xml:space="preserve">    Inventarios</v>
      </c>
      <c r="B7" s="9">
        <f>[1]!BexGetCellData("003N8D85VN5WHY95OZ9S05CNN","003N8D85VN5WHXYYKUQD6W1SO","DP_2")</f>
        <v>0</v>
      </c>
      <c r="C7" s="10" t="str">
        <f>[1]!BexGetCellData("003N8D85VN5Y88OYUKVCK6RBE","003N8D85VN5WHXYYKUQD6W1SO","DP_2")</f>
        <v/>
      </c>
    </row>
    <row r="8" spans="1:3" x14ac:dyDescent="0.2">
      <c r="A8" s="12" t="str">
        <f>[1]!BexGetCellData("","003N8D85VN5WHXYYLGK325FDM","DP_2")</f>
        <v xml:space="preserve">    Almacenes</v>
      </c>
      <c r="B8" s="8">
        <f>[1]!BexGetCellData("003N8D85VN5WHY95OZ9S05CNN","003N8D85VN5WHXYYLGK325FDM","DP_2")</f>
        <v>582533.62</v>
      </c>
      <c r="C8" s="8">
        <f>[1]!BexGetCellData("003N8D85VN5Y88OYUKVCK6RBE","003N8D85VN5WHXYYLGK325FDM","DP_2")</f>
        <v>614872.34</v>
      </c>
    </row>
    <row r="9" spans="1:3" x14ac:dyDescent="0.2">
      <c r="A9" s="12" t="str">
        <f>[1]!BexGetCellData("","003N8D85VN5WHXYYM00MY6RKQ","DP_2")</f>
        <v xml:space="preserve">    Estimación por Pérdida o Deterioro de Activos Circulante</v>
      </c>
      <c r="B9" s="9">
        <f>[1]!BexGetCellData("003N8D85VN5WHY95OZ9S05CNN","003N8D85VN5WHXYYM00MY6RKQ","DP_2")</f>
        <v>0</v>
      </c>
      <c r="C9" s="10" t="str">
        <f>[1]!BexGetCellData("003N8D85VN5Y88OYUKVCK6RBE","003N8D85VN5WHXYYM00MY6RKQ","DP_2")</f>
        <v/>
      </c>
    </row>
    <row r="10" spans="1:3" x14ac:dyDescent="0.2">
      <c r="A10" s="12" t="str">
        <f>[1]!BexGetCellData("","003N8D85VN5WHXYYMNG18MZVE","DP_2")</f>
        <v xml:space="preserve">    Otros Activos Circulantes</v>
      </c>
      <c r="B10" s="9">
        <f>[1]!BexGetCellData("003N8D85VN5WHY95OZ9S05CNN","003N8D85VN5WHXYYMNG18MZVE","DP_2")</f>
        <v>0</v>
      </c>
      <c r="C10" s="8">
        <f>[1]!BexGetCellData("003N8D85VN5Y88OYUKVCK6RBE","003N8D85VN5WHXYYMNG18MZVE","DP_2")</f>
        <v>18899998.010000002</v>
      </c>
    </row>
    <row r="11" spans="1:3" x14ac:dyDescent="0.2">
      <c r="A11" s="12" t="str">
        <f>[1]!BexGetCellData("","003N8D85VN5WHY982ZBRCCOPL","DP_2")</f>
        <v xml:space="preserve">  Total de Activos Circulantes</v>
      </c>
      <c r="B11" s="8">
        <f>[1]!BexGetCellData("003N8D85VN5WHY95OZ9S05CNN","003N8D85VN5WHY982ZBRCCOPL","DP_2")</f>
        <v>3997736885.2800002</v>
      </c>
      <c r="C11" s="8">
        <f>[1]!BexGetCellData("003N8D85VN5Y88OYUKVCK6RBE","003N8D85VN5WHY982ZBRCCOPL","DP_2")</f>
        <v>9071762574.5799999</v>
      </c>
    </row>
    <row r="12" spans="1:3" x14ac:dyDescent="0.2">
      <c r="A12" s="12" t="str">
        <f>[1]!BexGetCellData("","003N8D85VN5WHY8XRC4EJO2A6","DP_2")</f>
        <v xml:space="preserve">  Activo No Circulante</v>
      </c>
      <c r="B12" s="10" t="str">
        <f>[1]!BexGetCellData("003N8D85VN5WHY95OZ9S05CNN","003N8D85VN5WHY8XRC4EJO2A6","DP_2")</f>
        <v/>
      </c>
      <c r="C12" s="10" t="str">
        <f>[1]!BexGetCellData("003N8D85VN5Y88OYUKVCK6RBE","003N8D85VN5WHY8XRC4EJO2A6","DP_2")</f>
        <v/>
      </c>
    </row>
    <row r="13" spans="1:3" x14ac:dyDescent="0.2">
      <c r="A13" s="12" t="str">
        <f>[1]!BexGetCellData("","003N8D85VN5WHY8XSMJG84OEO","DP_2")</f>
        <v xml:space="preserve">    Inversiones Financieras a Largo Plazo</v>
      </c>
      <c r="B13" s="8">
        <f>[1]!BexGetCellData("003N8D85VN5WHY95OZ9S05CNN","003N8D85VN5WHY8XSMJG84OEO","DP_2")</f>
        <v>24674913677.700001</v>
      </c>
      <c r="C13" s="8">
        <f>[1]!BexGetCellData("003N8D85VN5Y88OYUKVCK6RBE","003N8D85VN5WHY8XSMJG84OEO","DP_2")</f>
        <v>24508848618.380001</v>
      </c>
    </row>
    <row r="14" spans="1:3" x14ac:dyDescent="0.2">
      <c r="A14" s="12" t="str">
        <f>[1]!BexGetCellData("","003N8D85VN5WHY8XTPY9O3YC0","DP_2")</f>
        <v xml:space="preserve">    Derechos a Recibir Efectivo o Equivalentes a Largo Plazo</v>
      </c>
      <c r="B14" s="8">
        <f>[1]!BexGetCellData("003N8D85VN5WHY95OZ9S05CNN","003N8D85VN5WHY8XTPY9O3YC0","DP_2")</f>
        <v>180010314.5</v>
      </c>
      <c r="C14" s="8">
        <f>[1]!BexGetCellData("003N8D85VN5Y88OYUKVCK6RBE","003N8D85VN5WHY8XTPY9O3YC0","DP_2")</f>
        <v>180010314.5</v>
      </c>
    </row>
    <row r="15" spans="1:3" x14ac:dyDescent="0.2">
      <c r="A15" s="12" t="str">
        <f>[1]!BexGetCellData("","003N8D85VN5WHY8XUMAM086U3","DP_2")</f>
        <v xml:space="preserve">    Bienes Inmuebles, Infraestructura y Construcciones en Pr</v>
      </c>
      <c r="B15" s="8">
        <f>[1]!BexGetCellData("003N8D85VN5WHY95OZ9S05CNN","003N8D85VN5WHY8XUMAM086U3","DP_2")</f>
        <v>18750221859.080002</v>
      </c>
      <c r="C15" s="8">
        <f>[1]!BexGetCellData("003N8D85VN5Y88OYUKVCK6RBE","003N8D85VN5WHY8XUMAM086U3","DP_2")</f>
        <v>16152510711.040001</v>
      </c>
    </row>
    <row r="16" spans="1:3" x14ac:dyDescent="0.2">
      <c r="A16" s="12" t="str">
        <f>[1]!BexGetCellData("","003N8D85VN5WHY8XXSRX4Y00S","DP_2")</f>
        <v xml:space="preserve">    Bienes Muebles</v>
      </c>
      <c r="B16" s="8">
        <f>[1]!BexGetCellData("003N8D85VN5WHY95OZ9S05CNN","003N8D85VN5WHY8XXSRX4Y00S","DP_2")</f>
        <v>3136449692.4299998</v>
      </c>
      <c r="C16" s="8">
        <f>[1]!BexGetCellData("003N8D85VN5Y88OYUKVCK6RBE","003N8D85VN5WHY8XXSRX4Y00S","DP_2")</f>
        <v>3002953599.3400002</v>
      </c>
    </row>
    <row r="17" spans="1:3" x14ac:dyDescent="0.2">
      <c r="A17" s="12" t="str">
        <f>[1]!BexGetCellData("","003N8D85VN5WHY8XYL34N049R","DP_2")</f>
        <v xml:space="preserve">    Activos Intangibles</v>
      </c>
      <c r="B17" s="8">
        <f>[1]!BexGetCellData("003N8D85VN5WHY95OZ9S05CNN","003N8D85VN5WHY8XYL34N049R","DP_2")</f>
        <v>137079404.19</v>
      </c>
      <c r="C17" s="8">
        <f>[1]!BexGetCellData("003N8D85VN5Y88OYUKVCK6RBE","003N8D85VN5WHY8XYL34N049R","DP_2")</f>
        <v>125823150.47</v>
      </c>
    </row>
    <row r="18" spans="1:3" x14ac:dyDescent="0.2">
      <c r="A18" s="12" t="str">
        <f>[1]!BexGetCellData("","003N8D85VN5WHY8YD4DQ8QRBA","DP_2")</f>
        <v xml:space="preserve">    Depreciación, Deterioro y Amortización Acumulada de Bien</v>
      </c>
      <c r="B18" s="8">
        <f>[1]!BexGetCellData("003N8D85VN5WHY95OZ9S05CNN","003N8D85VN5WHY8YD4DQ8QRBA","DP_2")</f>
        <v>-1117944837.25</v>
      </c>
      <c r="C18" s="8">
        <f>[1]!BexGetCellData("003N8D85VN5Y88OYUKVCK6RBE","003N8D85VN5WHY8YD4DQ8QRBA","DP_2")</f>
        <v>-1103599441.3499999</v>
      </c>
    </row>
    <row r="19" spans="1:3" x14ac:dyDescent="0.2">
      <c r="A19" s="12" t="str">
        <f>[1]!BexGetCellData("","003N8D85VN5WHY8YD4DQ8QXMU","DP_2")</f>
        <v xml:space="preserve">    Activos Diferidos</v>
      </c>
      <c r="B19" s="8">
        <f>[1]!BexGetCellData("003N8D85VN5WHY95OZ9S05CNN","003N8D85VN5WHY8YD4DQ8QXMU","DP_2")</f>
        <v>32457644.670000002</v>
      </c>
      <c r="C19" s="8">
        <f>[1]!BexGetCellData("003N8D85VN5Y88OYUKVCK6RBE","003N8D85VN5WHY8YD4DQ8QXMU","DP_2")</f>
        <v>32457644.670000002</v>
      </c>
    </row>
    <row r="20" spans="1:3" x14ac:dyDescent="0.2">
      <c r="A20" s="12" t="str">
        <f>[1]!BexGetCellData("","003N8D85VN5WHY8YDWUARZIRR","DP_2")</f>
        <v xml:space="preserve">    Estimación por Pérdida o Deterioro de Activos no Circula</v>
      </c>
      <c r="B20" s="9">
        <f>[1]!BexGetCellData("003N8D85VN5WHY95OZ9S05CNN","003N8D85VN5WHY8YDWUARZIRR","DP_2")</f>
        <v>0</v>
      </c>
      <c r="C20" s="10" t="str">
        <f>[1]!BexGetCellData("003N8D85VN5Y88OYUKVCK6RBE","003N8D85VN5WHY8YDWUARZIRR","DP_2")</f>
        <v/>
      </c>
    </row>
    <row r="21" spans="1:3" x14ac:dyDescent="0.2">
      <c r="A21" s="12" t="str">
        <f>[1]!BexGetCellData("","003N8D85VN5WHY8YEO01MMKSN","DP_2")</f>
        <v xml:space="preserve">    Otros Activos no Circulantes</v>
      </c>
      <c r="B21" s="9">
        <f>[1]!BexGetCellData("003N8D85VN5WHY95OZ9S05CNN","003N8D85VN5WHY8YEO01MMKSN","DP_2")</f>
        <v>0</v>
      </c>
      <c r="C21" s="10" t="str">
        <f>[1]!BexGetCellData("003N8D85VN5Y88OYUKVCK6RBE","003N8D85VN5WHY8YEO01MMKSN","DP_2")</f>
        <v/>
      </c>
    </row>
    <row r="22" spans="1:3" x14ac:dyDescent="0.2">
      <c r="A22" s="12" t="str">
        <f>[1]!BexGetCellData("","003N8D85VN5WHY984PA514PP8","DP_2")</f>
        <v xml:space="preserve">  Total de Activos No Circulantes</v>
      </c>
      <c r="B22" s="8">
        <f>[1]!BexGetCellData("003N8D85VN5WHY95OZ9S05CNN","003N8D85VN5WHY984PA514PP8","DP_2")</f>
        <v>45793187755.32</v>
      </c>
      <c r="C22" s="8">
        <f>[1]!BexGetCellData("003N8D85VN5Y88OYUKVCK6RBE","003N8D85VN5WHY984PA514PP8","DP_2")</f>
        <v>42899004597.050003</v>
      </c>
    </row>
    <row r="23" spans="1:3" x14ac:dyDescent="0.2">
      <c r="A23" s="12" t="str">
        <f>[1]!BexGetCellData("","003N8D85VN5WHY985LPIE2C65","DP_2")</f>
        <v>Total de Activos</v>
      </c>
      <c r="B23" s="8">
        <f>[1]!BexGetCellData("003N8D85VN5WHY95OZ9S05CNN","003N8D85VN5WHY985LPIE2C65","DP_2")</f>
        <v>49790924640.599998</v>
      </c>
      <c r="C23" s="8">
        <f>[1]!BexGetCellData("003N8D85VN5Y88OYUKVCK6RBE","003N8D85VN5WHY985LPIE2C65","DP_2")</f>
        <v>51970767171.629997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11"/>
      <c r="B1" s="12" t="str">
        <f>[1]!BexGetCellData("003N8D85VN5Y88UOCOONXLKGG","","DP_3")</f>
        <v>'2021</v>
      </c>
      <c r="C1" s="12" t="str">
        <f>[1]!BexGetCellData("003N8D85VN5Y88UOCOONXLQS0","","DP_3")</f>
        <v>'2020</v>
      </c>
    </row>
    <row r="2" spans="1:3" x14ac:dyDescent="0.2">
      <c r="A2" s="12" t="str">
        <f>[1]!BexGetCellData("","003N8D85VN5Y88UOCOONX9SY8","DP_3")</f>
        <v>Pasivo</v>
      </c>
      <c r="B2" s="10" t="str">
        <f>[1]!BexGetCellData("003N8D85VN5Y88UOCOONXLKGG","003N8D85VN5Y88UOCOONX9SY8","DP_3")</f>
        <v/>
      </c>
      <c r="C2" s="10" t="str">
        <f>[1]!BexGetCellData("003N8D85VN5Y88UOCOONXLQS0","003N8D85VN5Y88UOCOONX9SY8","DP_3")</f>
        <v/>
      </c>
    </row>
    <row r="3" spans="1:3" x14ac:dyDescent="0.2">
      <c r="A3" s="12" t="str">
        <f>[1]!BexGetCellData("","003N8D85VN5Y88UOCOONXABWW","DP_3")</f>
        <v xml:space="preserve">  Pasivo Circulante</v>
      </c>
      <c r="B3" s="10" t="str">
        <f>[1]!BexGetCellData("003N8D85VN5Y88UOCOONXLKGG","003N8D85VN5Y88UOCOONXABWW","DP_3")</f>
        <v/>
      </c>
      <c r="C3" s="10" t="str">
        <f>[1]!BexGetCellData("003N8D85VN5Y88UOCOONXLQS0","003N8D85VN5Y88UOCOONXABWW","DP_3")</f>
        <v/>
      </c>
    </row>
    <row r="4" spans="1:3" x14ac:dyDescent="0.2">
      <c r="A4" s="12" t="str">
        <f>[1]!BexGetCellData("","003N8D85VN5Y88UOCOONXAUVK","DP_3")</f>
        <v xml:space="preserve">    Cuentas por Pagar a Corto Plazo</v>
      </c>
      <c r="B4" s="13">
        <f>[1]!BexGetCellData("003N8D85VN5Y88UOCOONXLKGG","003N8D85VN5Y88UOCOONXAUVK","DP_3")</f>
        <v>4822360379.1400003</v>
      </c>
      <c r="C4" s="8">
        <f>[1]!BexGetCellData("003N8D85VN5Y88UOCOONXLQS0","003N8D85VN5Y88UOCOONXAUVK","DP_3")</f>
        <v>5454330933.4200001</v>
      </c>
    </row>
    <row r="5" spans="1:3" x14ac:dyDescent="0.2">
      <c r="A5" s="12" t="str">
        <f>[1]!BexGetCellData("","003N8D85VN5Y88UOCOONXBDU8","DP_3")</f>
        <v xml:space="preserve">    Documentos por Pagar a Corto Plazo</v>
      </c>
      <c r="B5" s="13">
        <f>[1]!BexGetCellData("003N8D85VN5Y88UOCOONXLKGG","003N8D85VN5Y88UOCOONXBDU8","DP_3")</f>
        <v>2732000000</v>
      </c>
      <c r="C5" s="8">
        <f>[1]!BexGetCellData("003N8D85VN5Y88UOCOONXLQS0","003N8D85VN5Y88UOCOONXBDU8","DP_3")</f>
        <v>1164000000</v>
      </c>
    </row>
    <row r="6" spans="1:3" x14ac:dyDescent="0.2">
      <c r="A6" s="12" t="str">
        <f>[1]!BexGetCellData("","003N8D85VN5Y88UOCOONXBWSW","DP_3")</f>
        <v xml:space="preserve">    Porción a Corto Plazo de la Deuda Pública</v>
      </c>
      <c r="B6" s="13">
        <f>[1]!BexGetCellData("003N8D85VN5Y88UOCOONXLKGG","003N8D85VN5Y88UOCOONXBWSW","DP_3")</f>
        <v>614280699.38999999</v>
      </c>
      <c r="C6" s="8">
        <f>[1]!BexGetCellData("003N8D85VN5Y88UOCOONXLQS0","003N8D85VN5Y88UOCOONXBWSW","DP_3")</f>
        <v>548877782.04999995</v>
      </c>
    </row>
    <row r="7" spans="1:3" x14ac:dyDescent="0.2">
      <c r="A7" s="12" t="str">
        <f>[1]!BexGetCellData("","003N8D85VN5Y88UOCOONXCFRK","DP_3")</f>
        <v xml:space="preserve">    Títulos y Valores a Corto Plazo</v>
      </c>
      <c r="B7" s="14">
        <f>[1]!BexGetCellData("003N8D85VN5Y88UOCOONXLKGG","003N8D85VN5Y88UOCOONXCFRK","DP_3")</f>
        <v>0</v>
      </c>
      <c r="C7" s="10" t="str">
        <f>[1]!BexGetCellData("003N8D85VN5Y88UOCOONXLQS0","003N8D85VN5Y88UOCOONXCFRK","DP_3")</f>
        <v/>
      </c>
    </row>
    <row r="8" spans="1:3" x14ac:dyDescent="0.2">
      <c r="A8" s="12" t="str">
        <f>[1]!BexGetCellData("","003N8D85VN5Y88UOCOONXCYQ8","DP_3")</f>
        <v xml:space="preserve">    Pasivos Diferidos a Corto Plazo</v>
      </c>
      <c r="B8" s="14">
        <f>[1]!BexGetCellData("003N8D85VN5Y88UOCOONXLKGG","003N8D85VN5Y88UOCOONXCYQ8","DP_3")</f>
        <v>0</v>
      </c>
      <c r="C8" s="10" t="str">
        <f>[1]!BexGetCellData("003N8D85VN5Y88UOCOONXLQS0","003N8D85VN5Y88UOCOONXCYQ8","DP_3")</f>
        <v/>
      </c>
    </row>
    <row r="9" spans="1:3" x14ac:dyDescent="0.2">
      <c r="A9" s="12" t="str">
        <f>[1]!BexGetCellData("","003N8D85VN5Y88UOCOONXDHOW","DP_3")</f>
        <v xml:space="preserve">    Fondos y Bienes de Terceros en Garantía</v>
      </c>
      <c r="B9" s="13">
        <f>[1]!BexGetCellData("003N8D85VN5Y88UOCOONXLKGG","003N8D85VN5Y88UOCOONXDHOW","DP_3")</f>
        <v>225197033.99000001</v>
      </c>
      <c r="C9" s="8">
        <f>[1]!BexGetCellData("003N8D85VN5Y88UOCOONXLQS0","003N8D85VN5Y88UOCOONXDHOW","DP_3")</f>
        <v>230452662.43000001</v>
      </c>
    </row>
    <row r="10" spans="1:3" x14ac:dyDescent="0.2">
      <c r="A10" s="12" t="str">
        <f>[1]!BexGetCellData("","003N8D85VN5Y88UOCOONXE0NK","DP_3")</f>
        <v xml:space="preserve">    Provisiones a Corto Plazo</v>
      </c>
      <c r="B10" s="14">
        <f>[1]!BexGetCellData("003N8D85VN5Y88UOCOONXLKGG","003N8D85VN5Y88UOCOONXE0NK","DP_3")</f>
        <v>0</v>
      </c>
      <c r="C10" s="10" t="str">
        <f>[1]!BexGetCellData("003N8D85VN5Y88UOCOONXLQS0","003N8D85VN5Y88UOCOONXE0NK","DP_3")</f>
        <v/>
      </c>
    </row>
    <row r="11" spans="1:3" x14ac:dyDescent="0.2">
      <c r="A11" s="12" t="str">
        <f>[1]!BexGetCellData("","003N8D85VN5Y88UP9X1R0PM45","DP_3")</f>
        <v xml:space="preserve">    Otros Pasivos a Corto Plazo</v>
      </c>
      <c r="B11" s="13">
        <f>[1]!BexGetCellData("003N8D85VN5Y88UOCOONXLKGG","003N8D85VN5Y88UP9X1R0PM45","DP_3")</f>
        <v>595184227.94000006</v>
      </c>
      <c r="C11" s="8">
        <f>[1]!BexGetCellData("003N8D85VN5Y88UOCOONXLQS0","003N8D85VN5Y88UP9X1R0PM45","DP_3")</f>
        <v>903437232.96000004</v>
      </c>
    </row>
    <row r="12" spans="1:3" x14ac:dyDescent="0.2">
      <c r="A12" s="12" t="str">
        <f>[1]!BexGetCellData("","003N8D85VN5Y88UOCOONXEJM8","DP_3")</f>
        <v xml:space="preserve">  Total de Pasivos Circulantes</v>
      </c>
      <c r="B12" s="13">
        <f>[1]!BexGetCellData("003N8D85VN5Y88UOCOONXLKGG","003N8D85VN5Y88UOCOONXEJM8","DP_3")</f>
        <v>8989022340.4599991</v>
      </c>
      <c r="C12" s="8">
        <f>[1]!BexGetCellData("003N8D85VN5Y88UOCOONXLQS0","003N8D85VN5Y88UOCOONXEJM8","DP_3")</f>
        <v>8301098610.8599997</v>
      </c>
    </row>
    <row r="13" spans="1:3" x14ac:dyDescent="0.2">
      <c r="A13" s="12" t="str">
        <f>[1]!BexGetCellData("","003N8D85VN5Y88UOCOONXF2KW","DP_3")</f>
        <v xml:space="preserve">  Pasivo No Circulante</v>
      </c>
      <c r="B13" s="10" t="str">
        <f>[1]!BexGetCellData("003N8D85VN5Y88UOCOONXLKGG","003N8D85VN5Y88UOCOONXF2KW","DP_3")</f>
        <v/>
      </c>
      <c r="C13" s="10" t="str">
        <f>[1]!BexGetCellData("003N8D85VN5Y88UOCOONXLQS0","003N8D85VN5Y88UOCOONXF2KW","DP_3")</f>
        <v/>
      </c>
    </row>
    <row r="14" spans="1:3" x14ac:dyDescent="0.2">
      <c r="A14" s="12" t="str">
        <f>[1]!BexGetCellData("","003N8D85VN5Y88UOCOONXFLJK","DP_3")</f>
        <v xml:space="preserve">    Cuentas por Pagar a Largo Plazo</v>
      </c>
      <c r="B14" s="14">
        <f>[1]!BexGetCellData("003N8D85VN5Y88UOCOONXLKGG","003N8D85VN5Y88UOCOONXFLJK","DP_3")</f>
        <v>0</v>
      </c>
      <c r="C14" s="9">
        <f>[1]!BexGetCellData("003N8D85VN5Y88UOCOONXLQS0","003N8D85VN5Y88UOCOONXFLJK","DP_3")</f>
        <v>0</v>
      </c>
    </row>
    <row r="15" spans="1:3" x14ac:dyDescent="0.2">
      <c r="A15" s="12" t="str">
        <f>[1]!BexGetCellData("","003N8D85VN5Y88UOCOONXG4I8","DP_3")</f>
        <v xml:space="preserve">    Documentos por Pagar a Largo Plazo</v>
      </c>
      <c r="B15" s="14">
        <f>[1]!BexGetCellData("003N8D85VN5Y88UOCOONXLKGG","003N8D85VN5Y88UOCOONXG4I8","DP_3")</f>
        <v>0</v>
      </c>
      <c r="C15" s="10" t="str">
        <f>[1]!BexGetCellData("003N8D85VN5Y88UOCOONXLQS0","003N8D85VN5Y88UOCOONXG4I8","DP_3")</f>
        <v/>
      </c>
    </row>
    <row r="16" spans="1:3" x14ac:dyDescent="0.2">
      <c r="A16" s="12" t="str">
        <f>[1]!BexGetCellData("","003N8D85VN5Y88UOCOONXGNGW","DP_3")</f>
        <v xml:space="preserve">    Deuda Pública a Largo Plazo</v>
      </c>
      <c r="B16" s="13">
        <f>[1]!BexGetCellData("003N8D85VN5Y88UOCOONXLKGG","003N8D85VN5Y88UOCOONXGNGW","DP_3")</f>
        <v>19259970436.740002</v>
      </c>
      <c r="C16" s="8">
        <f>[1]!BexGetCellData("003N8D85VN5Y88UOCOONXLQS0","003N8D85VN5Y88UOCOONXGNGW","DP_3")</f>
        <v>19874251150.099998</v>
      </c>
    </row>
    <row r="17" spans="1:3" x14ac:dyDescent="0.2">
      <c r="A17" s="12" t="str">
        <f>[1]!BexGetCellData("","003N8D85VN5Y88UOCOONXH6FK","DP_3")</f>
        <v xml:space="preserve">    Pasivos Diferidos a Largo Plazo</v>
      </c>
      <c r="B17" s="14">
        <f>[1]!BexGetCellData("003N8D85VN5Y88UOCOONXLKGG","003N8D85VN5Y88UOCOONXH6FK","DP_3")</f>
        <v>0</v>
      </c>
      <c r="C17" s="10" t="str">
        <f>[1]!BexGetCellData("003N8D85VN5Y88UOCOONXLQS0","003N8D85VN5Y88UOCOONXH6FK","DP_3")</f>
        <v/>
      </c>
    </row>
    <row r="18" spans="1:3" x14ac:dyDescent="0.2">
      <c r="A18" s="12" t="str">
        <f>[1]!BexGetCellData("","003N8D85VN5Y88UOCOONXHPE8","DP_3")</f>
        <v xml:space="preserve">    Fondos y Bienes de Terceros en Garantía</v>
      </c>
      <c r="B18" s="14">
        <f>[1]!BexGetCellData("003N8D85VN5Y88UOCOONXLKGG","003N8D85VN5Y88UOCOONXHPE8","DP_3")</f>
        <v>0</v>
      </c>
      <c r="C18" s="10" t="str">
        <f>[1]!BexGetCellData("003N8D85VN5Y88UOCOONXLQS0","003N8D85VN5Y88UOCOONXHPE8","DP_3")</f>
        <v/>
      </c>
    </row>
    <row r="19" spans="1:3" x14ac:dyDescent="0.2">
      <c r="A19" s="12" t="str">
        <f>[1]!BexGetCellData("","003N8D85VN5Y88UOCOONXJT8W","DP_3")</f>
        <v xml:space="preserve">    Provisiones a Largo Plazo</v>
      </c>
      <c r="B19" s="14">
        <f>[1]!BexGetCellData("003N8D85VN5Y88UOCOONXLKGG","003N8D85VN5Y88UOCOONXJT8W","DP_3")</f>
        <v>0</v>
      </c>
      <c r="C19" s="10" t="str">
        <f>[1]!BexGetCellData("003N8D85VN5Y88UOCOONXLQS0","003N8D85VN5Y88UOCOONXJT8W","DP_3")</f>
        <v/>
      </c>
    </row>
    <row r="20" spans="1:3" x14ac:dyDescent="0.2">
      <c r="A20" s="12" t="str">
        <f>[1]!BexGetCellData("","003N8D85VN5Y88UOCOONXKC7K","DP_3")</f>
        <v xml:space="preserve">  Total de Pasivos No Circulantes</v>
      </c>
      <c r="B20" s="13">
        <f>[1]!BexGetCellData("003N8D85VN5Y88UOCOONXLKGG","003N8D85VN5Y88UOCOONXKC7K","DP_3")</f>
        <v>19259970436.740002</v>
      </c>
      <c r="C20" s="8">
        <f>[1]!BexGetCellData("003N8D85VN5Y88UOCOONXLQS0","003N8D85VN5Y88UOCOONXKC7K","DP_3")</f>
        <v>19874251150.099998</v>
      </c>
    </row>
    <row r="21" spans="1:3" x14ac:dyDescent="0.2">
      <c r="A21" s="12" t="str">
        <f>[1]!BexGetCellData("","003N8D85VN5Y88UOCOONXKV68","DP_3")</f>
        <v>Total de Pasivos</v>
      </c>
      <c r="B21" s="13">
        <f>[1]!BexGetCellData("003N8D85VN5Y88UOCOONXLKGG","003N8D85VN5Y88UOCOONXKV68","DP_3")</f>
        <v>28248992777.200001</v>
      </c>
      <c r="C21" s="8">
        <f>[1]!BexGetCellData("003N8D85VN5Y88UOCOONXLQS0","003N8D85VN5Y88UOCOONXKV68","DP_3")</f>
        <v>28175349760.959999</v>
      </c>
    </row>
    <row r="22" spans="1:3" x14ac:dyDescent="0.2">
      <c r="A22" s="12" t="str">
        <f>[1]!BexGetCellData("","003N8D85VN5Y8HKZ7PKW3YTFW","DP_3")</f>
        <v>Hacienda Pública/Patrimonio</v>
      </c>
      <c r="B22" s="10" t="str">
        <f>[1]!BexGetCellData("003N8D85VN5Y88UOCOONXLKGG","003N8D85VN5Y8HKZ7PKW3YTFW","DP_3")</f>
        <v/>
      </c>
      <c r="C22" s="10" t="str">
        <f>[1]!BexGetCellData("003N8D85VN5Y88UOCOONXLQS0","003N8D85VN5Y8HKZ7PKW3YTFW","DP_3")</f>
        <v/>
      </c>
    </row>
    <row r="23" spans="1:3" x14ac:dyDescent="0.2">
      <c r="A23" s="12" t="str">
        <f>[1]!BexGetCellData("","003N8D85VN5Y8HKZ876XSEN4C","DP_3")</f>
        <v xml:space="preserve">  Hacienda Pública/Patrimonio Contribuido</v>
      </c>
      <c r="B23" s="13">
        <f>[1]!BexGetCellData("003N8D85VN5Y88UOCOONXLKGG","003N8D85VN5Y8HKZ876XSEN4C","DP_3")</f>
        <v>34703702039.620003</v>
      </c>
      <c r="C23" s="8">
        <f>[1]!BexGetCellData("003N8D85VN5Y88UOCOONXLQS0","003N8D85VN5Y8HKZ876XSEN4C","DP_3")</f>
        <v>34179863229.939999</v>
      </c>
    </row>
    <row r="24" spans="1:3" x14ac:dyDescent="0.2">
      <c r="A24" s="12" t="str">
        <f>[1]!BexGetCellData("","003N8D85VN5Y8HKZ9377ZCGB0","DP_3")</f>
        <v xml:space="preserve">    Aportaciones</v>
      </c>
      <c r="B24" s="13">
        <f>[1]!BexGetCellData("003N8D85VN5Y88UOCOONXLKGG","003N8D85VN5Y8HKZ9377ZCGB0","DP_3")</f>
        <v>34694530521.660004</v>
      </c>
      <c r="C24" s="8">
        <f>[1]!BexGetCellData("003N8D85VN5Y88UOCOONXLQS0","003N8D85VN5Y8HKZ9377ZCGB0","DP_3")</f>
        <v>34174288674.59</v>
      </c>
    </row>
    <row r="25" spans="1:3" x14ac:dyDescent="0.2">
      <c r="A25" s="12" t="str">
        <f>[1]!BexGetCellData("","003N8D85VN5Y8HKZ9O9BNKOLS","DP_3")</f>
        <v xml:space="preserve">    Donaciones de Capital</v>
      </c>
      <c r="B25" s="14">
        <f>[1]!BexGetCellData("003N8D85VN5Y88UOCOONXLKGG","003N8D85VN5Y8HKZ9O9BNKOLS","DP_3")</f>
        <v>0</v>
      </c>
      <c r="C25" s="10" t="str">
        <f>[1]!BexGetCellData("003N8D85VN5Y88UOCOONXLQS0","003N8D85VN5Y8HKZ9O9BNKOLS","DP_3")</f>
        <v/>
      </c>
    </row>
    <row r="26" spans="1:3" x14ac:dyDescent="0.2">
      <c r="A26" s="12" t="str">
        <f>[1]!BexGetCellData("","003N8D85VN5Y8HKZACCYYI3KG","DP_3")</f>
        <v xml:space="preserve">    Actualización de la Hacienda Pública/Pa</v>
      </c>
      <c r="B26" s="13">
        <f>[1]!BexGetCellData("003N8D85VN5Y88UOCOONXLKGG","003N8D85VN5Y8HKZACCYYI3KG","DP_3")</f>
        <v>9171517.9600000009</v>
      </c>
      <c r="C26" s="8">
        <f>[1]!BexGetCellData("003N8D85VN5Y88UOCOONXLQS0","003N8D85VN5Y8HKZACCYYI3KG","DP_3")</f>
        <v>5574555.3499999996</v>
      </c>
    </row>
    <row r="27" spans="1:3" x14ac:dyDescent="0.2">
      <c r="A27" s="12" t="str">
        <f>[1]!BexGetCellData("","003N8D85VN5Y8HKZAZU4PQ6J5","DP_3")</f>
        <v xml:space="preserve">  Hacienda Pública/Patrimonio Generado</v>
      </c>
      <c r="B27" s="13">
        <f>[1]!BexGetCellData("003N8D85VN5Y88UOCOONXLKGG","003N8D85VN5Y8HKZAZU4PQ6J5","DP_3")</f>
        <v>7765410595.79</v>
      </c>
      <c r="C27" s="8">
        <f>[1]!BexGetCellData("003N8D85VN5Y88UOCOONXLQS0","003N8D85VN5Y8HKZAZU4PQ6J5","DP_3")</f>
        <v>6707737131.1000004</v>
      </c>
    </row>
    <row r="28" spans="1:3" x14ac:dyDescent="0.2">
      <c r="A28" s="12" t="str">
        <f>[1]!BexGetCellData("","003N8D85VN5Y8HKZBM0RZLRBU","DP_3")</f>
        <v xml:space="preserve">    Resultados del Ejercicio (Ahorro/ Desahorro)</v>
      </c>
      <c r="B28" s="13">
        <f>[1]!BexGetCellData("003N8D85VN5Y88UOCOONXLKGG","003N8D85VN5Y8HKZBM0RZLRBU","DP_3")</f>
        <v>1057673464.6900001</v>
      </c>
      <c r="C28" s="8">
        <f>[1]!BexGetCellData("003N8D85VN5Y88UOCOONXLQS0","003N8D85VN5Y8HKZBM0RZLRBU","DP_3")</f>
        <v>1329416831.28</v>
      </c>
    </row>
    <row r="29" spans="1:3" x14ac:dyDescent="0.2">
      <c r="A29" s="12" t="str">
        <f>[1]!BexGetCellData("","003N8D85VN5Y8HKZCA2TBAFMI","DP_3")</f>
        <v xml:space="preserve">    Resultados de Ejercicios Anteriores</v>
      </c>
      <c r="B29" s="13">
        <f>[1]!BexGetCellData("003N8D85VN5Y88UOCOONXLKGG","003N8D85VN5Y8HKZCA2TBAFMI","DP_3")</f>
        <v>6707737131.1000004</v>
      </c>
      <c r="C29" s="8">
        <f>[1]!BexGetCellData("003N8D85VN5Y88UOCOONXLQS0","003N8D85VN5Y8HKZCA2TBAFMI","DP_3")</f>
        <v>5378320299.8199997</v>
      </c>
    </row>
    <row r="30" spans="1:3" x14ac:dyDescent="0.2">
      <c r="A30" s="12" t="str">
        <f>[1]!BexGetCellData("","003N8D85VN5Y8HKZE3X0X81WE","DP_3")</f>
        <v xml:space="preserve">    Revalúos</v>
      </c>
      <c r="B30" s="14">
        <f>[1]!BexGetCellData("003N8D85VN5Y88UOCOONXLKGG","003N8D85VN5Y8HKZE3X0X81WE","DP_3")</f>
        <v>0</v>
      </c>
      <c r="C30" s="10" t="str">
        <f>[1]!BexGetCellData("003N8D85VN5Y88UOCOONXLQS0","003N8D85VN5Y8HKZE3X0X81WE","DP_3")</f>
        <v/>
      </c>
    </row>
    <row r="31" spans="1:3" x14ac:dyDescent="0.2">
      <c r="A31" s="12" t="str">
        <f>[1]!BexGetCellData("","003N8D85VN5Y8HKZF2DGVBXCY","DP_3")</f>
        <v xml:space="preserve">    Reservas</v>
      </c>
      <c r="B31" s="14">
        <f>[1]!BexGetCellData("003N8D85VN5Y88UOCOONXLKGG","003N8D85VN5Y8HKZF2DGVBXCY","DP_3")</f>
        <v>0</v>
      </c>
      <c r="C31" s="10" t="str">
        <f>[1]!BexGetCellData("003N8D85VN5Y88UOCOONXLQS0","003N8D85VN5Y8HKZF2DGVBXCY","DP_3")</f>
        <v/>
      </c>
    </row>
    <row r="32" spans="1:3" x14ac:dyDescent="0.2">
      <c r="A32" s="12" t="str">
        <f>[1]!BexGetCellData("","003N8D85VN5Y8HKZFM8BOXL0I","DP_3")</f>
        <v xml:space="preserve">    Rectificaciones de Resultados de Ejercicios Anteriores</v>
      </c>
      <c r="B32" s="13">
        <f>[1]!BexGetCellData("003N8D85VN5Y88UOCOONXLKGG","003N8D85VN5Y8HKZFM8BOXL0I","DP_3")</f>
        <v>-20927180772.009998</v>
      </c>
      <c r="C32" s="8">
        <f>[1]!BexGetCellData("003N8D85VN5Y88UOCOONXLQS0","003N8D85VN5Y8HKZFM8BOXL0I","DP_3")</f>
        <v>-17092182950.370001</v>
      </c>
    </row>
    <row r="33" spans="1:3" x14ac:dyDescent="0.2">
      <c r="A33" s="12" t="str">
        <f>[1]!BexGetCellData("","003N8D85VN5Y8HKZGAVOBDSIU","DP_3")</f>
        <v xml:space="preserve">  Exceso o Insuficiencia en la Actualización de la Hac</v>
      </c>
      <c r="B33" s="14">
        <f>[1]!BexGetCellData("003N8D85VN5Y88UOCOONXLKGG","003N8D85VN5Y8HKZGAVOBDSIU","DP_3")</f>
        <v>0</v>
      </c>
      <c r="C33" s="10" t="str">
        <f>[1]!BexGetCellData("003N8D85VN5Y88UOCOONXLQS0","003N8D85VN5Y8HKZGAVOBDSIU","DP_3")</f>
        <v/>
      </c>
    </row>
    <row r="34" spans="1:3" x14ac:dyDescent="0.2">
      <c r="A34" s="12" t="str">
        <f>[1]!BexGetCellData("","003N8D85VN5Y8HKZH8BV9KUJQ","DP_3")</f>
        <v xml:space="preserve">    Resultado por Tenencia de Activos no Monetarios</v>
      </c>
      <c r="B34" s="14">
        <f>[1]!BexGetCellData("003N8D85VN5Y88UOCOONXLKGG","003N8D85VN5Y8HKZH8BV9KUJQ","DP_3")</f>
        <v>0</v>
      </c>
      <c r="C34" s="10" t="str">
        <f>[1]!BexGetCellData("003N8D85VN5Y88UOCOONXLQS0","003N8D85VN5Y8HKZH8BV9KUJQ","DP_3")</f>
        <v/>
      </c>
    </row>
    <row r="35" spans="1:3" x14ac:dyDescent="0.2">
      <c r="A35" s="12" t="str">
        <f>[1]!BexGetCellData("","003N8D85VN5Y8HKZKMXA4Z7HY","DP_3")</f>
        <v xml:space="preserve">    Resultado por Tenencia de Activos no Mo</v>
      </c>
      <c r="B35" s="14">
        <f>[1]!BexGetCellData("003N8D85VN5Y88UOCOONXLKGG","003N8D85VN5Y8HKZKMXA4Z7HY","DP_3")</f>
        <v>0</v>
      </c>
      <c r="C35" s="10" t="str">
        <f>[1]!BexGetCellData("003N8D85VN5Y88UOCOONXLQS0","003N8D85VN5Y8HKZKMXA4Z7HY","DP_3")</f>
        <v/>
      </c>
    </row>
    <row r="36" spans="1:3" x14ac:dyDescent="0.2">
      <c r="A36" s="12" t="str">
        <f>[1]!BexGetCellData("","003N8D85VN5Y8HKZLONALDCC9","DP_3")</f>
        <v>Total Hacienda Pública/Patrimonio</v>
      </c>
      <c r="B36" s="13">
        <f>[1]!BexGetCellData("003N8D85VN5Y88UOCOONXLKGG","003N8D85VN5Y8HKZLONALDCC9","DP_3")</f>
        <v>42469112635.410004</v>
      </c>
      <c r="C36" s="8">
        <f>[1]!BexGetCellData("003N8D85VN5Y88UOCOONXLQS0","003N8D85VN5Y8HKZLONALDCC9","DP_3")</f>
        <v>40887600361.040001</v>
      </c>
    </row>
    <row r="37" spans="1:3" x14ac:dyDescent="0.2">
      <c r="A37" s="12" t="str">
        <f>[1]!BexGetCellData("","003N8D85VN5Y8HKZMBIWNVJQX","DP_3")</f>
        <v>Total del Pasivo y Hacienda Pública/Patrimonio</v>
      </c>
      <c r="B37" s="13">
        <f>[1]!BexGetCellData("003N8D85VN5Y88UOCOONXLKGG","003N8D85VN5Y8HKZMBIWNVJQX","DP_3")</f>
        <v>70718105412.610001</v>
      </c>
      <c r="C37" s="8">
        <f>[1]!BexGetCellData("003N8D85VN5Y88UOCOONXLQS0","003N8D85VN5Y8HKZMBIWNVJQX","DP_3")</f>
        <v>69062950122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2022-04-27T16:16:10Z</cp:lastPrinted>
  <dcterms:created xsi:type="dcterms:W3CDTF">2017-06-21T15:05:23Z</dcterms:created>
  <dcterms:modified xsi:type="dcterms:W3CDTF">2022-04-30T02:59:49Z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